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codeName="{1AED2BDD-1FA3-CEF2-32D4-FBADEFEB71EE}"/>
  <workbookPr codeName="ThisWorkbook" defaultThemeVersion="166925"/>
  <mc:AlternateContent xmlns:mc="http://schemas.openxmlformats.org/markup-compatibility/2006">
    <mc:Choice Requires="x15">
      <x15ac:absPath xmlns:x15ac="http://schemas.microsoft.com/office/spreadsheetml/2010/11/ac" url="U:\2019 Data and Plans\"/>
    </mc:Choice>
  </mc:AlternateContent>
  <xr:revisionPtr revIDLastSave="0" documentId="8_{228A9459-BAD5-464D-8913-4827000EF877}" xr6:coauthVersionLast="44" xr6:coauthVersionMax="44" xr10:uidLastSave="{00000000-0000-0000-0000-000000000000}"/>
  <bookViews>
    <workbookView xWindow="-120" yWindow="-120" windowWidth="29040" windowHeight="15840" tabRatio="778" activeTab="1"/>
  </bookViews>
  <sheets>
    <sheet name="USER NOTES" sheetId="6" r:id="rId1"/>
    <sheet name="LeafConcentrationsEntry" sheetId="4" r:id="rId2"/>
    <sheet name="DRISCalculations" sheetId="1" r:id="rId3"/>
    <sheet name="DRISIndices" sheetId="5" r:id="rId4"/>
    <sheet name="ConcentrationsPlusDRIS" sheetId="2" r:id="rId5"/>
    <sheet name="CriticalValues" sheetId="3" r:id="rId6"/>
  </sheets>
  <definedNames>
    <definedName name="DRISCA">DRISCalculations!$BX:$BX</definedName>
    <definedName name="DRISCU">DRISCalculations!$CC:$CC</definedName>
    <definedName name="DRISFE">DRISCalculations!$BZ:$BZ</definedName>
    <definedName name="DRISK">DRISCalculations!$BW:$BW</definedName>
    <definedName name="DRISMG">DRISCalculations!$BY:$BY</definedName>
    <definedName name="DRISMN">DRISCalculations!$CA:$CA</definedName>
    <definedName name="DRISN">DRISCalculations!$BU:$BU</definedName>
    <definedName name="DRISNBI">DRISCalculations!$CD:$CD</definedName>
    <definedName name="DRISP">DRISCalculations!$BV:$BV</definedName>
    <definedName name="DRISZN">DRISCalculations!$CB:$CB</definedName>
    <definedName name="LCA">LeafConcentrationsEntry!$E$9:$E$65000</definedName>
    <definedName name="LCU">LeafConcentrationsEntry!$J$9:$J$65000</definedName>
    <definedName name="LFE">LeafConcentrationsEntry!$G$9:$G$65000</definedName>
    <definedName name="LK">LeafConcentrationsEntry!$D$9:$D$65000</definedName>
    <definedName name="LMG">LeafConcentrationsEntry!$F$9:$F$65000</definedName>
    <definedName name="LMN">LeafConcentrationsEntry!$H$9:$H$65000</definedName>
    <definedName name="LN">LeafConcentrationsEntry!$B$9:$B$65000</definedName>
    <definedName name="LP">LeafConcentrationsEntry!$C$9:$C$65000</definedName>
    <definedName name="LZN">LeafConcentrationsEntry!$I$9:$I$65000</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 i="2" l="1"/>
  <c r="B10" i="2"/>
  <c r="A10" i="1"/>
  <c r="B10" i="1"/>
  <c r="C10" i="1"/>
  <c r="D10" i="1"/>
  <c r="E10" i="1"/>
  <c r="F10" i="1"/>
  <c r="G10" i="1"/>
  <c r="H10" i="1"/>
  <c r="I10" i="1"/>
  <c r="J10" i="1"/>
  <c r="K10" i="1"/>
  <c r="L10" i="1"/>
  <c r="M10" i="1"/>
  <c r="N10" i="1"/>
  <c r="O10" i="1"/>
  <c r="P10" i="1"/>
  <c r="D10" i="2"/>
  <c r="W10" i="1"/>
  <c r="X10" i="1"/>
  <c r="AC10" i="1"/>
  <c r="AD10" i="1"/>
  <c r="Q10" i="1"/>
  <c r="R10" i="1"/>
  <c r="S10" i="1"/>
  <c r="T10" i="1"/>
  <c r="U10" i="1"/>
  <c r="V10" i="1"/>
  <c r="Y10" i="1"/>
  <c r="Z10" i="1"/>
  <c r="AA10" i="1"/>
  <c r="AB10" i="1"/>
  <c r="F10" i="2"/>
  <c r="AI10" i="1"/>
  <c r="AJ10" i="1"/>
  <c r="AE10" i="1"/>
  <c r="AF10" i="1"/>
  <c r="AG10" i="1"/>
  <c r="AH10" i="1"/>
  <c r="AK10" i="1"/>
  <c r="AL10" i="1"/>
  <c r="AM10" i="1"/>
  <c r="AN10" i="1"/>
  <c r="AO10" i="1"/>
  <c r="AP10" i="1"/>
  <c r="CC10" i="1"/>
  <c r="H10" i="2"/>
  <c r="AQ10" i="1"/>
  <c r="AR10" i="1"/>
  <c r="AS10" i="1"/>
  <c r="AT10" i="1"/>
  <c r="AU10" i="1"/>
  <c r="AV10" i="1"/>
  <c r="AW10" i="1"/>
  <c r="AX10" i="1"/>
  <c r="AY10" i="1"/>
  <c r="AZ10" i="1"/>
  <c r="BX10" i="1"/>
  <c r="E10" i="5"/>
  <c r="J10" i="2"/>
  <c r="BA10" i="1"/>
  <c r="BB10" i="1"/>
  <c r="BC10" i="1"/>
  <c r="BD10" i="1"/>
  <c r="BE10" i="1"/>
  <c r="BF10" i="1"/>
  <c r="BG10" i="1"/>
  <c r="BH10" i="1"/>
  <c r="L10" i="2"/>
  <c r="BI10" i="1"/>
  <c r="BJ10" i="1"/>
  <c r="BO10" i="1"/>
  <c r="BP10" i="1"/>
  <c r="BQ10" i="1"/>
  <c r="BR10" i="1"/>
  <c r="N10" i="2"/>
  <c r="BM10" i="1"/>
  <c r="BN10" i="1"/>
  <c r="BK10" i="1"/>
  <c r="BL10" i="1"/>
  <c r="CB10" i="1"/>
  <c r="P10" i="2"/>
  <c r="BS10" i="1"/>
  <c r="BT10" i="1"/>
  <c r="R10" i="2"/>
  <c r="A11" i="2"/>
  <c r="B11" i="2"/>
  <c r="A11" i="1"/>
  <c r="B11" i="1"/>
  <c r="C11" i="1"/>
  <c r="D11" i="1"/>
  <c r="E11" i="1"/>
  <c r="F11" i="1"/>
  <c r="G11" i="1"/>
  <c r="H11" i="1"/>
  <c r="I11" i="1"/>
  <c r="J11" i="1"/>
  <c r="K11" i="1"/>
  <c r="L11" i="1"/>
  <c r="M11" i="1"/>
  <c r="N11" i="1"/>
  <c r="O11" i="1"/>
  <c r="P11" i="1"/>
  <c r="D11" i="2"/>
  <c r="W11" i="1"/>
  <c r="X11" i="1"/>
  <c r="BV11" i="1"/>
  <c r="AC11" i="1"/>
  <c r="AD11" i="1"/>
  <c r="Q11" i="1"/>
  <c r="R11" i="1"/>
  <c r="BW11" i="1"/>
  <c r="S11" i="1"/>
  <c r="T11" i="1"/>
  <c r="U11" i="1"/>
  <c r="V11" i="1"/>
  <c r="Y11" i="1"/>
  <c r="Z11" i="1"/>
  <c r="AA11" i="1"/>
  <c r="AB11" i="1"/>
  <c r="F11" i="2"/>
  <c r="AI11" i="1"/>
  <c r="AJ11" i="1"/>
  <c r="AE11" i="1"/>
  <c r="AF11" i="1"/>
  <c r="AG11" i="1"/>
  <c r="AH11" i="1"/>
  <c r="AK11" i="1"/>
  <c r="AL11" i="1"/>
  <c r="AM11" i="1"/>
  <c r="AN11" i="1"/>
  <c r="AO11" i="1"/>
  <c r="AP11" i="1"/>
  <c r="H11" i="2"/>
  <c r="AQ11" i="1"/>
  <c r="AR11" i="1"/>
  <c r="AS11" i="1"/>
  <c r="AT11" i="1"/>
  <c r="AU11" i="1"/>
  <c r="AV11" i="1"/>
  <c r="AW11" i="1"/>
  <c r="AX11" i="1"/>
  <c r="AY11" i="1"/>
  <c r="AZ11" i="1"/>
  <c r="BX11" i="1"/>
  <c r="J11" i="2"/>
  <c r="BA11" i="1"/>
  <c r="BB11" i="1"/>
  <c r="BC11" i="1"/>
  <c r="BD11" i="1"/>
  <c r="BE11" i="1"/>
  <c r="BF11" i="1"/>
  <c r="BG11" i="1"/>
  <c r="BH11" i="1"/>
  <c r="L11" i="2"/>
  <c r="BI11" i="1"/>
  <c r="BJ11" i="1"/>
  <c r="BO11" i="1"/>
  <c r="BP11" i="1"/>
  <c r="BQ11" i="1"/>
  <c r="BR11" i="1"/>
  <c r="N11" i="2"/>
  <c r="BM11" i="1"/>
  <c r="BN11" i="1"/>
  <c r="BK11" i="1"/>
  <c r="BL11" i="1"/>
  <c r="P11" i="2"/>
  <c r="BS11" i="1"/>
  <c r="BT11" i="1"/>
  <c r="R11" i="2"/>
  <c r="A12" i="2"/>
  <c r="B12" i="2"/>
  <c r="A12" i="1"/>
  <c r="B12" i="1"/>
  <c r="C12" i="1"/>
  <c r="D12" i="1"/>
  <c r="E12" i="1"/>
  <c r="F12" i="1"/>
  <c r="G12" i="1"/>
  <c r="H12" i="1"/>
  <c r="I12" i="1"/>
  <c r="J12" i="1"/>
  <c r="K12" i="1"/>
  <c r="L12" i="1"/>
  <c r="M12" i="1"/>
  <c r="N12" i="1"/>
  <c r="CB12" i="1"/>
  <c r="O12" i="1"/>
  <c r="P12" i="1"/>
  <c r="D12" i="2"/>
  <c r="W12" i="1"/>
  <c r="X12" i="1"/>
  <c r="AC12" i="1"/>
  <c r="AD12" i="1"/>
  <c r="Q12" i="1"/>
  <c r="R12" i="1"/>
  <c r="S12" i="1"/>
  <c r="T12" i="1"/>
  <c r="U12" i="1"/>
  <c r="V12" i="1"/>
  <c r="Y12" i="1"/>
  <c r="Z12" i="1"/>
  <c r="AA12" i="1"/>
  <c r="AB12" i="1"/>
  <c r="F12" i="2"/>
  <c r="AI12" i="1"/>
  <c r="AJ12" i="1"/>
  <c r="AE12" i="1"/>
  <c r="AF12" i="1"/>
  <c r="AG12" i="1"/>
  <c r="AH12" i="1"/>
  <c r="AK12" i="1"/>
  <c r="AL12" i="1"/>
  <c r="AM12" i="1"/>
  <c r="AN12" i="1"/>
  <c r="AO12" i="1"/>
  <c r="AP12" i="1"/>
  <c r="H12" i="2"/>
  <c r="AQ12" i="1"/>
  <c r="AR12" i="1"/>
  <c r="AS12" i="1"/>
  <c r="AT12" i="1"/>
  <c r="AU12" i="1"/>
  <c r="AV12" i="1"/>
  <c r="AW12" i="1"/>
  <c r="AX12" i="1"/>
  <c r="AY12" i="1"/>
  <c r="AZ12" i="1"/>
  <c r="J12" i="2"/>
  <c r="BA12" i="1"/>
  <c r="BB12" i="1"/>
  <c r="BC12" i="1"/>
  <c r="BD12" i="1"/>
  <c r="BE12" i="1"/>
  <c r="BF12" i="1"/>
  <c r="BG12" i="1"/>
  <c r="BH12" i="1"/>
  <c r="L12" i="2"/>
  <c r="BI12" i="1"/>
  <c r="BJ12" i="1"/>
  <c r="BO12" i="1"/>
  <c r="BP12" i="1"/>
  <c r="BQ12" i="1"/>
  <c r="BR12" i="1"/>
  <c r="N12" i="2"/>
  <c r="BM12" i="1"/>
  <c r="BN12" i="1"/>
  <c r="BK12" i="1"/>
  <c r="BL12" i="1"/>
  <c r="P12" i="2"/>
  <c r="BS12" i="1"/>
  <c r="BT12" i="1"/>
  <c r="R12" i="2"/>
  <c r="A13" i="2"/>
  <c r="B13" i="2"/>
  <c r="A13" i="1"/>
  <c r="B13" i="1"/>
  <c r="C13" i="1"/>
  <c r="D13" i="1"/>
  <c r="E13" i="1"/>
  <c r="F13" i="1"/>
  <c r="G13" i="1"/>
  <c r="H13" i="1"/>
  <c r="I13" i="1"/>
  <c r="J13" i="1"/>
  <c r="K13" i="1"/>
  <c r="L13" i="1"/>
  <c r="M13" i="1"/>
  <c r="N13" i="1"/>
  <c r="O13" i="1"/>
  <c r="P13" i="1"/>
  <c r="D13" i="2"/>
  <c r="W13" i="1"/>
  <c r="X13" i="1"/>
  <c r="AC13" i="1"/>
  <c r="AD13" i="1"/>
  <c r="Q13" i="1"/>
  <c r="R13" i="1"/>
  <c r="S13" i="1"/>
  <c r="T13" i="1"/>
  <c r="U13" i="1"/>
  <c r="V13" i="1"/>
  <c r="Y13" i="1"/>
  <c r="Z13" i="1"/>
  <c r="AA13" i="1"/>
  <c r="AB13" i="1"/>
  <c r="F13" i="2"/>
  <c r="AI13" i="1"/>
  <c r="AJ13" i="1"/>
  <c r="AE13" i="1"/>
  <c r="AF13" i="1"/>
  <c r="AG13" i="1"/>
  <c r="AH13" i="1"/>
  <c r="AK13" i="1"/>
  <c r="AL13" i="1"/>
  <c r="AM13" i="1"/>
  <c r="AN13" i="1"/>
  <c r="AO13" i="1"/>
  <c r="AP13" i="1"/>
  <c r="H13" i="2"/>
  <c r="AQ13" i="1"/>
  <c r="AR13" i="1"/>
  <c r="AS13" i="1"/>
  <c r="AT13" i="1"/>
  <c r="AU13" i="1"/>
  <c r="AV13" i="1"/>
  <c r="AW13" i="1"/>
  <c r="AX13" i="1"/>
  <c r="AY13" i="1"/>
  <c r="AZ13" i="1"/>
  <c r="J13" i="2"/>
  <c r="BA13" i="1"/>
  <c r="BB13" i="1"/>
  <c r="CA13" i="1"/>
  <c r="BC13" i="1"/>
  <c r="BD13" i="1"/>
  <c r="BE13" i="1"/>
  <c r="BF13" i="1"/>
  <c r="BG13" i="1"/>
  <c r="BH13" i="1"/>
  <c r="L13" i="2"/>
  <c r="BI13" i="1"/>
  <c r="BJ13" i="1"/>
  <c r="BZ13" i="1"/>
  <c r="BO13" i="1"/>
  <c r="BP13" i="1"/>
  <c r="BQ13" i="1"/>
  <c r="BR13" i="1"/>
  <c r="N13" i="2"/>
  <c r="BM13" i="1"/>
  <c r="BN13" i="1"/>
  <c r="BK13" i="1"/>
  <c r="BL13" i="1"/>
  <c r="P13" i="2"/>
  <c r="BS13" i="1"/>
  <c r="BT13" i="1"/>
  <c r="CB13" i="1"/>
  <c r="R13" i="2"/>
  <c r="A14" i="2"/>
  <c r="B14" i="2"/>
  <c r="A14" i="1"/>
  <c r="B14" i="1"/>
  <c r="C14" i="1"/>
  <c r="D14" i="1"/>
  <c r="E14" i="1"/>
  <c r="F14" i="1"/>
  <c r="G14" i="1"/>
  <c r="H14" i="1"/>
  <c r="I14" i="1"/>
  <c r="J14" i="1"/>
  <c r="K14" i="1"/>
  <c r="L14" i="1"/>
  <c r="M14" i="1"/>
  <c r="N14" i="1"/>
  <c r="O14" i="1"/>
  <c r="P14" i="1"/>
  <c r="D14" i="2"/>
  <c r="W14" i="1"/>
  <c r="X14" i="1"/>
  <c r="AC14" i="1"/>
  <c r="AD14" i="1"/>
  <c r="Q14" i="1"/>
  <c r="R14" i="1"/>
  <c r="S14" i="1"/>
  <c r="T14" i="1"/>
  <c r="U14" i="1"/>
  <c r="V14" i="1"/>
  <c r="Y14" i="1"/>
  <c r="Z14" i="1"/>
  <c r="AA14" i="1"/>
  <c r="AB14" i="1"/>
  <c r="F14" i="2"/>
  <c r="AI14" i="1"/>
  <c r="AJ14" i="1"/>
  <c r="AE14" i="1"/>
  <c r="AF14" i="1"/>
  <c r="AG14" i="1"/>
  <c r="AH14" i="1"/>
  <c r="AK14" i="1"/>
  <c r="AL14" i="1"/>
  <c r="AM14" i="1"/>
  <c r="AN14" i="1"/>
  <c r="AO14" i="1"/>
  <c r="AP14" i="1"/>
  <c r="H14" i="2"/>
  <c r="AQ14" i="1"/>
  <c r="AR14" i="1"/>
  <c r="AS14" i="1"/>
  <c r="AT14" i="1"/>
  <c r="AU14" i="1"/>
  <c r="AV14" i="1"/>
  <c r="AW14" i="1"/>
  <c r="AX14" i="1"/>
  <c r="AY14" i="1"/>
  <c r="AZ14" i="1"/>
  <c r="J14" i="2"/>
  <c r="BA14" i="1"/>
  <c r="BB14" i="1"/>
  <c r="BC14" i="1"/>
  <c r="BD14" i="1"/>
  <c r="BY14" i="1"/>
  <c r="BE14" i="1"/>
  <c r="BF14" i="1"/>
  <c r="BG14" i="1"/>
  <c r="BH14" i="1"/>
  <c r="L14" i="2"/>
  <c r="BI14" i="1"/>
  <c r="BJ14" i="1"/>
  <c r="BO14" i="1"/>
  <c r="BP14" i="1"/>
  <c r="BQ14" i="1"/>
  <c r="BR14" i="1"/>
  <c r="N14" i="2"/>
  <c r="BM14" i="1"/>
  <c r="BN14" i="1"/>
  <c r="BK14" i="1"/>
  <c r="BL14" i="1"/>
  <c r="P14" i="2"/>
  <c r="BS14" i="1"/>
  <c r="BT14" i="1"/>
  <c r="R14" i="2"/>
  <c r="A15" i="2"/>
  <c r="B15" i="2"/>
  <c r="A15" i="1"/>
  <c r="B15" i="1"/>
  <c r="C15" i="1"/>
  <c r="D15" i="1"/>
  <c r="E15" i="1"/>
  <c r="F15" i="1"/>
  <c r="G15" i="1"/>
  <c r="H15" i="1"/>
  <c r="I15" i="1"/>
  <c r="J15" i="1"/>
  <c r="K15" i="1"/>
  <c r="L15" i="1"/>
  <c r="M15" i="1"/>
  <c r="N15" i="1"/>
  <c r="O15" i="1"/>
  <c r="P15" i="1"/>
  <c r="D15" i="2"/>
  <c r="W15" i="1"/>
  <c r="X15" i="1"/>
  <c r="BV15" i="1"/>
  <c r="AC15" i="1"/>
  <c r="AD15" i="1"/>
  <c r="Q15" i="1"/>
  <c r="R15" i="1"/>
  <c r="S15" i="1"/>
  <c r="T15" i="1"/>
  <c r="U15" i="1"/>
  <c r="V15" i="1"/>
  <c r="Y15" i="1"/>
  <c r="Z15" i="1"/>
  <c r="AA15" i="1"/>
  <c r="AB15" i="1"/>
  <c r="F15" i="2"/>
  <c r="AI15" i="1"/>
  <c r="AJ15" i="1"/>
  <c r="CA15" i="1"/>
  <c r="H15" i="5"/>
  <c r="AE15" i="1"/>
  <c r="AF15" i="1"/>
  <c r="AG15" i="1"/>
  <c r="AH15" i="1"/>
  <c r="AK15" i="1"/>
  <c r="AL15" i="1"/>
  <c r="AM15" i="1"/>
  <c r="AN15" i="1"/>
  <c r="AO15" i="1"/>
  <c r="AP15" i="1"/>
  <c r="H15" i="2"/>
  <c r="AQ15" i="1"/>
  <c r="AR15" i="1"/>
  <c r="AS15" i="1"/>
  <c r="AT15" i="1"/>
  <c r="AU15" i="1"/>
  <c r="AV15" i="1"/>
  <c r="AW15" i="1"/>
  <c r="AX15" i="1"/>
  <c r="AY15" i="1"/>
  <c r="AZ15" i="1"/>
  <c r="CC15" i="1"/>
  <c r="J15" i="2"/>
  <c r="BA15" i="1"/>
  <c r="BB15" i="1"/>
  <c r="BC15" i="1"/>
  <c r="BD15" i="1"/>
  <c r="BE15" i="1"/>
  <c r="BF15" i="1"/>
  <c r="BG15" i="1"/>
  <c r="BH15" i="1"/>
  <c r="BY15" i="1"/>
  <c r="L15" i="2"/>
  <c r="BI15" i="1"/>
  <c r="BJ15" i="1"/>
  <c r="BO15" i="1"/>
  <c r="BP15" i="1"/>
  <c r="BQ15" i="1"/>
  <c r="BR15" i="1"/>
  <c r="N15" i="2"/>
  <c r="BM15" i="1"/>
  <c r="BN15" i="1"/>
  <c r="BK15" i="1"/>
  <c r="BL15" i="1"/>
  <c r="P15" i="2"/>
  <c r="BS15" i="1"/>
  <c r="BT15" i="1"/>
  <c r="R15" i="2"/>
  <c r="A16" i="2"/>
  <c r="B16" i="2"/>
  <c r="A16" i="1"/>
  <c r="B16" i="1"/>
  <c r="BU16" i="1"/>
  <c r="B16" i="5"/>
  <c r="C16" i="1"/>
  <c r="D16" i="1"/>
  <c r="E16" i="1"/>
  <c r="F16" i="1"/>
  <c r="G16" i="1"/>
  <c r="H16" i="1"/>
  <c r="I16" i="1"/>
  <c r="J16" i="1"/>
  <c r="K16" i="1"/>
  <c r="L16" i="1"/>
  <c r="M16" i="1"/>
  <c r="N16" i="1"/>
  <c r="O16" i="1"/>
  <c r="P16" i="1"/>
  <c r="D16" i="2"/>
  <c r="W16" i="1"/>
  <c r="X16" i="1"/>
  <c r="AC16" i="1"/>
  <c r="AD16" i="1"/>
  <c r="Q16" i="1"/>
  <c r="R16" i="1"/>
  <c r="BV16" i="1"/>
  <c r="C16" i="5"/>
  <c r="S16" i="1"/>
  <c r="T16" i="1"/>
  <c r="U16" i="1"/>
  <c r="V16" i="1"/>
  <c r="Y16" i="1"/>
  <c r="Z16" i="1"/>
  <c r="AA16" i="1"/>
  <c r="AB16" i="1"/>
  <c r="CB16" i="1"/>
  <c r="I16" i="5"/>
  <c r="F16" i="2"/>
  <c r="AI16" i="1"/>
  <c r="AJ16" i="1"/>
  <c r="AE16" i="1"/>
  <c r="AF16" i="1"/>
  <c r="AG16" i="1"/>
  <c r="AH16" i="1"/>
  <c r="AK16" i="1"/>
  <c r="AL16" i="1"/>
  <c r="AM16" i="1"/>
  <c r="AN16" i="1"/>
  <c r="AO16" i="1"/>
  <c r="AP16" i="1"/>
  <c r="H16" i="2"/>
  <c r="AQ16" i="1"/>
  <c r="AR16" i="1"/>
  <c r="AS16" i="1"/>
  <c r="AT16" i="1"/>
  <c r="AU16" i="1"/>
  <c r="AV16" i="1"/>
  <c r="AW16" i="1"/>
  <c r="AX16" i="1"/>
  <c r="AY16" i="1"/>
  <c r="AZ16" i="1"/>
  <c r="J16" i="2"/>
  <c r="BA16" i="1"/>
  <c r="BB16" i="1"/>
  <c r="BC16" i="1"/>
  <c r="BD16" i="1"/>
  <c r="BE16" i="1"/>
  <c r="BF16" i="1"/>
  <c r="BG16" i="1"/>
  <c r="BH16" i="1"/>
  <c r="L16" i="2"/>
  <c r="BI16" i="1"/>
  <c r="BJ16" i="1"/>
  <c r="BO16" i="1"/>
  <c r="BP16" i="1"/>
  <c r="BQ16" i="1"/>
  <c r="BR16" i="1"/>
  <c r="N16" i="2"/>
  <c r="BM16" i="1"/>
  <c r="BN16" i="1"/>
  <c r="BK16" i="1"/>
  <c r="BL16" i="1"/>
  <c r="P16" i="2"/>
  <c r="BS16" i="1"/>
  <c r="BT16" i="1"/>
  <c r="R16" i="2"/>
  <c r="A17" i="2"/>
  <c r="B17" i="2"/>
  <c r="A17" i="1"/>
  <c r="B17" i="1"/>
  <c r="C17" i="1"/>
  <c r="D17" i="1"/>
  <c r="E17" i="1"/>
  <c r="F17" i="1"/>
  <c r="G17" i="1"/>
  <c r="H17" i="1"/>
  <c r="I17" i="1"/>
  <c r="J17" i="1"/>
  <c r="BU17" i="1"/>
  <c r="K17" i="1"/>
  <c r="L17" i="1"/>
  <c r="M17" i="1"/>
  <c r="N17" i="1"/>
  <c r="O17" i="1"/>
  <c r="P17" i="1"/>
  <c r="D17" i="2"/>
  <c r="W17" i="1"/>
  <c r="X17" i="1"/>
  <c r="AC17" i="1"/>
  <c r="AD17" i="1"/>
  <c r="Q17" i="1"/>
  <c r="R17" i="1"/>
  <c r="S17" i="1"/>
  <c r="T17" i="1"/>
  <c r="U17" i="1"/>
  <c r="V17" i="1"/>
  <c r="Y17" i="1"/>
  <c r="Z17" i="1"/>
  <c r="AA17" i="1"/>
  <c r="AB17" i="1"/>
  <c r="F17" i="2"/>
  <c r="AI17" i="1"/>
  <c r="AJ17" i="1"/>
  <c r="AE17" i="1"/>
  <c r="AF17" i="1"/>
  <c r="AG17" i="1"/>
  <c r="AH17" i="1"/>
  <c r="AK17" i="1"/>
  <c r="AL17" i="1"/>
  <c r="AM17" i="1"/>
  <c r="AN17" i="1"/>
  <c r="AO17" i="1"/>
  <c r="AP17" i="1"/>
  <c r="H17" i="2"/>
  <c r="AQ17" i="1"/>
  <c r="AR17" i="1"/>
  <c r="AS17" i="1"/>
  <c r="AT17" i="1"/>
  <c r="AU17" i="1"/>
  <c r="AV17" i="1"/>
  <c r="AW17" i="1"/>
  <c r="AX17" i="1"/>
  <c r="AY17" i="1"/>
  <c r="AZ17" i="1"/>
  <c r="CC17" i="1"/>
  <c r="J17" i="2"/>
  <c r="BA17" i="1"/>
  <c r="BB17" i="1"/>
  <c r="BC17" i="1"/>
  <c r="BD17" i="1"/>
  <c r="BY17" i="1"/>
  <c r="BE17" i="1"/>
  <c r="BF17" i="1"/>
  <c r="BG17" i="1"/>
  <c r="BH17" i="1"/>
  <c r="L17" i="2"/>
  <c r="BI17" i="1"/>
  <c r="BJ17" i="1"/>
  <c r="BO17" i="1"/>
  <c r="BP17" i="1"/>
  <c r="BQ17" i="1"/>
  <c r="BR17" i="1"/>
  <c r="N17" i="2"/>
  <c r="BM17" i="1"/>
  <c r="BN17" i="1"/>
  <c r="BK17" i="1"/>
  <c r="BL17" i="1"/>
  <c r="P17" i="2"/>
  <c r="BS17" i="1"/>
  <c r="BT17" i="1"/>
  <c r="R17" i="2"/>
  <c r="A18" i="2"/>
  <c r="B18" i="2"/>
  <c r="A18" i="1"/>
  <c r="B18" i="1"/>
  <c r="C18" i="1"/>
  <c r="D18" i="1"/>
  <c r="E18" i="1"/>
  <c r="F18" i="1"/>
  <c r="G18" i="1"/>
  <c r="H18" i="1"/>
  <c r="I18" i="1"/>
  <c r="J18" i="1"/>
  <c r="K18" i="1"/>
  <c r="L18" i="1"/>
  <c r="M18" i="1"/>
  <c r="N18" i="1"/>
  <c r="O18" i="1"/>
  <c r="P18" i="1"/>
  <c r="D18" i="2"/>
  <c r="W18" i="1"/>
  <c r="X18" i="1"/>
  <c r="AC18" i="1"/>
  <c r="AD18" i="1"/>
  <c r="Q18" i="1"/>
  <c r="R18" i="1"/>
  <c r="S18" i="1"/>
  <c r="T18" i="1"/>
  <c r="U18" i="1"/>
  <c r="V18" i="1"/>
  <c r="Y18" i="1"/>
  <c r="Z18" i="1"/>
  <c r="AA18" i="1"/>
  <c r="AB18" i="1"/>
  <c r="F18" i="2"/>
  <c r="AI18" i="1"/>
  <c r="AJ18" i="1"/>
  <c r="AE18" i="1"/>
  <c r="AF18" i="1"/>
  <c r="AG18" i="1"/>
  <c r="AH18" i="1"/>
  <c r="AK18" i="1"/>
  <c r="AL18" i="1"/>
  <c r="BZ18" i="1"/>
  <c r="M18" i="2"/>
  <c r="AM18" i="1"/>
  <c r="AN18" i="1"/>
  <c r="AO18" i="1"/>
  <c r="AP18" i="1"/>
  <c r="H18" i="2"/>
  <c r="AQ18" i="1"/>
  <c r="AR18" i="1"/>
  <c r="AS18" i="1"/>
  <c r="AT18" i="1"/>
  <c r="AU18" i="1"/>
  <c r="AV18" i="1"/>
  <c r="AW18" i="1"/>
  <c r="AX18" i="1"/>
  <c r="AY18" i="1"/>
  <c r="AZ18" i="1"/>
  <c r="J18" i="2"/>
  <c r="BA18" i="1"/>
  <c r="BB18" i="1"/>
  <c r="BC18" i="1"/>
  <c r="BD18" i="1"/>
  <c r="BE18" i="1"/>
  <c r="BF18" i="1"/>
  <c r="BG18" i="1"/>
  <c r="BH18" i="1"/>
  <c r="L18" i="2"/>
  <c r="BI18" i="1"/>
  <c r="BJ18" i="1"/>
  <c r="BO18" i="1"/>
  <c r="BP18" i="1"/>
  <c r="BQ18" i="1"/>
  <c r="BR18" i="1"/>
  <c r="N18" i="2"/>
  <c r="BM18" i="1"/>
  <c r="BN18" i="1"/>
  <c r="CA18" i="1"/>
  <c r="H18" i="5"/>
  <c r="BK18" i="1"/>
  <c r="BL18" i="1"/>
  <c r="P18" i="2"/>
  <c r="BS18" i="1"/>
  <c r="BT18" i="1"/>
  <c r="R18" i="2"/>
  <c r="A19" i="2"/>
  <c r="B19" i="2"/>
  <c r="A19" i="1"/>
  <c r="B19" i="1"/>
  <c r="C19" i="1"/>
  <c r="D19" i="1"/>
  <c r="E19" i="1"/>
  <c r="F19" i="1"/>
  <c r="G19" i="1"/>
  <c r="H19" i="1"/>
  <c r="I19" i="1"/>
  <c r="J19" i="1"/>
  <c r="K19" i="1"/>
  <c r="L19" i="1"/>
  <c r="M19" i="1"/>
  <c r="N19" i="1"/>
  <c r="O19" i="1"/>
  <c r="P19" i="1"/>
  <c r="D19" i="2"/>
  <c r="W19" i="1"/>
  <c r="X19" i="1"/>
  <c r="AC19" i="1"/>
  <c r="AD19" i="1"/>
  <c r="Q19" i="1"/>
  <c r="R19" i="1"/>
  <c r="BW19" i="1"/>
  <c r="G19" i="2"/>
  <c r="S19" i="1"/>
  <c r="T19" i="1"/>
  <c r="U19" i="1"/>
  <c r="V19" i="1"/>
  <c r="Y19" i="1"/>
  <c r="Z19" i="1"/>
  <c r="AA19" i="1"/>
  <c r="AB19" i="1"/>
  <c r="F19" i="2"/>
  <c r="AI19" i="1"/>
  <c r="AJ19" i="1"/>
  <c r="AE19" i="1"/>
  <c r="AF19" i="1"/>
  <c r="AG19" i="1"/>
  <c r="AH19" i="1"/>
  <c r="AK19" i="1"/>
  <c r="AL19" i="1"/>
  <c r="AM19" i="1"/>
  <c r="AN19" i="1"/>
  <c r="AO19" i="1"/>
  <c r="AP19" i="1"/>
  <c r="H19" i="2"/>
  <c r="AQ19" i="1"/>
  <c r="AR19" i="1"/>
  <c r="AS19" i="1"/>
  <c r="AT19" i="1"/>
  <c r="AU19" i="1"/>
  <c r="AV19" i="1"/>
  <c r="AW19" i="1"/>
  <c r="AX19" i="1"/>
  <c r="AY19" i="1"/>
  <c r="AZ19" i="1"/>
  <c r="J19" i="2"/>
  <c r="BA19" i="1"/>
  <c r="BB19" i="1"/>
  <c r="BY19" i="1"/>
  <c r="F19" i="5"/>
  <c r="BC19" i="1"/>
  <c r="BD19" i="1"/>
  <c r="BE19" i="1"/>
  <c r="BF19" i="1"/>
  <c r="BG19" i="1"/>
  <c r="BH19" i="1"/>
  <c r="L19" i="2"/>
  <c r="BI19" i="1"/>
  <c r="BJ19" i="1"/>
  <c r="BO19" i="1"/>
  <c r="BP19" i="1"/>
  <c r="BQ19" i="1"/>
  <c r="BR19" i="1"/>
  <c r="N19" i="2"/>
  <c r="BM19" i="1"/>
  <c r="BN19" i="1"/>
  <c r="BK19" i="1"/>
  <c r="BL19" i="1"/>
  <c r="P19" i="2"/>
  <c r="BS19" i="1"/>
  <c r="BT19" i="1"/>
  <c r="R19" i="2"/>
  <c r="A20" i="2"/>
  <c r="B20" i="2"/>
  <c r="A20" i="1"/>
  <c r="B20" i="1"/>
  <c r="C20" i="1"/>
  <c r="D20" i="1"/>
  <c r="E20" i="1"/>
  <c r="F20" i="1"/>
  <c r="G20" i="1"/>
  <c r="H20" i="1"/>
  <c r="BU20" i="1"/>
  <c r="BY20" i="1"/>
  <c r="I20" i="1"/>
  <c r="J20" i="1"/>
  <c r="K20" i="1"/>
  <c r="L20" i="1"/>
  <c r="BZ20" i="1"/>
  <c r="M20" i="1"/>
  <c r="N20" i="1"/>
  <c r="O20" i="1"/>
  <c r="P20" i="1"/>
  <c r="D20" i="2"/>
  <c r="W20" i="1"/>
  <c r="X20" i="1"/>
  <c r="AC20" i="1"/>
  <c r="AD20" i="1"/>
  <c r="Q20" i="1"/>
  <c r="R20" i="1"/>
  <c r="BW20" i="1"/>
  <c r="D20" i="5"/>
  <c r="S20" i="1"/>
  <c r="T20" i="1"/>
  <c r="U20" i="1"/>
  <c r="V20" i="1"/>
  <c r="Y20" i="1"/>
  <c r="Z20" i="1"/>
  <c r="AA20" i="1"/>
  <c r="AB20" i="1"/>
  <c r="F20" i="2"/>
  <c r="AI20" i="1"/>
  <c r="AJ20" i="1"/>
  <c r="AE20" i="1"/>
  <c r="AF20" i="1"/>
  <c r="AG20" i="1"/>
  <c r="AH20" i="1"/>
  <c r="AK20" i="1"/>
  <c r="AL20" i="1"/>
  <c r="AM20" i="1"/>
  <c r="AN20" i="1"/>
  <c r="AO20" i="1"/>
  <c r="AP20" i="1"/>
  <c r="H20" i="2"/>
  <c r="AQ20" i="1"/>
  <c r="AR20" i="1"/>
  <c r="AS20" i="1"/>
  <c r="AT20" i="1"/>
  <c r="AU20" i="1"/>
  <c r="AV20" i="1"/>
  <c r="AW20" i="1"/>
  <c r="AX20" i="1"/>
  <c r="AY20" i="1"/>
  <c r="AZ20" i="1"/>
  <c r="J20" i="2"/>
  <c r="BA20" i="1"/>
  <c r="BB20" i="1"/>
  <c r="BC20" i="1"/>
  <c r="BD20" i="1"/>
  <c r="BE20" i="1"/>
  <c r="BF20" i="1"/>
  <c r="BG20" i="1"/>
  <c r="BH20" i="1"/>
  <c r="L20" i="2"/>
  <c r="BI20" i="1"/>
  <c r="BJ20" i="1"/>
  <c r="BO20" i="1"/>
  <c r="BP20" i="1"/>
  <c r="BQ20" i="1"/>
  <c r="BR20" i="1"/>
  <c r="N20" i="2"/>
  <c r="BM20" i="1"/>
  <c r="BN20" i="1"/>
  <c r="BK20" i="1"/>
  <c r="BL20" i="1"/>
  <c r="P20" i="2"/>
  <c r="BS20" i="1"/>
  <c r="BT20" i="1"/>
  <c r="R20" i="2"/>
  <c r="A21" i="2"/>
  <c r="B21" i="2"/>
  <c r="A21" i="1"/>
  <c r="B21" i="1"/>
  <c r="C21" i="1"/>
  <c r="D21" i="1"/>
  <c r="E21" i="1"/>
  <c r="F21" i="1"/>
  <c r="G21" i="1"/>
  <c r="H21" i="1"/>
  <c r="I21" i="1"/>
  <c r="J21" i="1"/>
  <c r="K21" i="1"/>
  <c r="L21" i="1"/>
  <c r="BZ21" i="1"/>
  <c r="G21" i="5"/>
  <c r="M21" i="1"/>
  <c r="N21" i="1"/>
  <c r="O21" i="1"/>
  <c r="P21" i="1"/>
  <c r="D21" i="2"/>
  <c r="W21" i="1"/>
  <c r="X21" i="1"/>
  <c r="BV21" i="1"/>
  <c r="AC21" i="1"/>
  <c r="AD21" i="1"/>
  <c r="Q21" i="1"/>
  <c r="R21" i="1"/>
  <c r="S21" i="1"/>
  <c r="T21" i="1"/>
  <c r="U21" i="1"/>
  <c r="V21" i="1"/>
  <c r="Y21" i="1"/>
  <c r="Z21" i="1"/>
  <c r="AA21" i="1"/>
  <c r="AB21" i="1"/>
  <c r="F21" i="2"/>
  <c r="AI21" i="1"/>
  <c r="AJ21" i="1"/>
  <c r="AE21" i="1"/>
  <c r="AF21" i="1"/>
  <c r="AG21" i="1"/>
  <c r="AH21" i="1"/>
  <c r="AK21" i="1"/>
  <c r="AL21" i="1"/>
  <c r="AM21" i="1"/>
  <c r="AN21" i="1"/>
  <c r="CB21" i="1"/>
  <c r="Q21" i="2"/>
  <c r="AO21" i="1"/>
  <c r="AP21" i="1"/>
  <c r="H21" i="2"/>
  <c r="AQ21" i="1"/>
  <c r="AR21" i="1"/>
  <c r="AS21" i="1"/>
  <c r="AT21" i="1"/>
  <c r="AU21" i="1"/>
  <c r="AV21" i="1"/>
  <c r="AW21" i="1"/>
  <c r="AX21" i="1"/>
  <c r="AY21" i="1"/>
  <c r="AZ21" i="1"/>
  <c r="J21" i="2"/>
  <c r="BA21" i="1"/>
  <c r="BB21" i="1"/>
  <c r="BC21" i="1"/>
  <c r="BD21" i="1"/>
  <c r="BE21" i="1"/>
  <c r="BF21" i="1"/>
  <c r="BG21" i="1"/>
  <c r="BH21" i="1"/>
  <c r="L21" i="2"/>
  <c r="BI21" i="1"/>
  <c r="BJ21" i="1"/>
  <c r="BO21" i="1"/>
  <c r="BP21" i="1"/>
  <c r="BQ21" i="1"/>
  <c r="BR21" i="1"/>
  <c r="N21" i="2"/>
  <c r="BM21" i="1"/>
  <c r="BN21" i="1"/>
  <c r="BK21" i="1"/>
  <c r="BL21" i="1"/>
  <c r="P21" i="2"/>
  <c r="BS21" i="1"/>
  <c r="BT21" i="1"/>
  <c r="R21" i="2"/>
  <c r="A22" i="2"/>
  <c r="B22" i="2"/>
  <c r="A22" i="1"/>
  <c r="B22" i="1"/>
  <c r="C22" i="1"/>
  <c r="D22" i="1"/>
  <c r="E22" i="1"/>
  <c r="F22" i="1"/>
  <c r="G22" i="1"/>
  <c r="H22" i="1"/>
  <c r="I22" i="1"/>
  <c r="J22" i="1"/>
  <c r="K22" i="1"/>
  <c r="L22" i="1"/>
  <c r="M22" i="1"/>
  <c r="N22" i="1"/>
  <c r="O22" i="1"/>
  <c r="P22" i="1"/>
  <c r="CC22" i="1"/>
  <c r="D22" i="2"/>
  <c r="W22" i="1"/>
  <c r="X22" i="1"/>
  <c r="AC22" i="1"/>
  <c r="AD22" i="1"/>
  <c r="Q22" i="1"/>
  <c r="R22" i="1"/>
  <c r="S22" i="1"/>
  <c r="T22" i="1"/>
  <c r="U22" i="1"/>
  <c r="V22" i="1"/>
  <c r="Y22" i="1"/>
  <c r="Z22" i="1"/>
  <c r="BV22" i="1"/>
  <c r="AA22" i="1"/>
  <c r="AB22" i="1"/>
  <c r="F22" i="2"/>
  <c r="AI22" i="1"/>
  <c r="AJ22" i="1"/>
  <c r="BW22" i="1"/>
  <c r="AE22" i="1"/>
  <c r="AF22" i="1"/>
  <c r="AG22" i="1"/>
  <c r="AH22" i="1"/>
  <c r="AK22" i="1"/>
  <c r="AL22" i="1"/>
  <c r="AM22" i="1"/>
  <c r="AN22" i="1"/>
  <c r="AO22" i="1"/>
  <c r="AP22" i="1"/>
  <c r="H22" i="2"/>
  <c r="AQ22" i="1"/>
  <c r="AR22" i="1"/>
  <c r="AS22" i="1"/>
  <c r="AT22" i="1"/>
  <c r="AU22" i="1"/>
  <c r="AV22" i="1"/>
  <c r="AW22" i="1"/>
  <c r="AX22" i="1"/>
  <c r="AY22" i="1"/>
  <c r="AZ22" i="1"/>
  <c r="J22" i="2"/>
  <c r="BA22" i="1"/>
  <c r="BB22" i="1"/>
  <c r="BC22" i="1"/>
  <c r="BD22" i="1"/>
  <c r="BE22" i="1"/>
  <c r="BF22" i="1"/>
  <c r="BG22" i="1"/>
  <c r="BH22" i="1"/>
  <c r="L22" i="2"/>
  <c r="BI22" i="1"/>
  <c r="BJ22" i="1"/>
  <c r="BO22" i="1"/>
  <c r="BP22" i="1"/>
  <c r="BQ22" i="1"/>
  <c r="BR22" i="1"/>
  <c r="N22" i="2"/>
  <c r="BM22" i="1"/>
  <c r="BN22" i="1"/>
  <c r="BK22" i="1"/>
  <c r="BL22" i="1"/>
  <c r="P22" i="2"/>
  <c r="BS22" i="1"/>
  <c r="BT22" i="1"/>
  <c r="R22" i="2"/>
  <c r="A23" i="2"/>
  <c r="B23" i="2"/>
  <c r="A23" i="1"/>
  <c r="B23" i="1"/>
  <c r="C23" i="1"/>
  <c r="D23" i="1"/>
  <c r="E23" i="1"/>
  <c r="F23" i="1"/>
  <c r="G23" i="1"/>
  <c r="H23" i="1"/>
  <c r="I23" i="1"/>
  <c r="J23" i="1"/>
  <c r="K23" i="1"/>
  <c r="L23" i="1"/>
  <c r="M23" i="1"/>
  <c r="N23" i="1"/>
  <c r="CB23" i="1"/>
  <c r="O23" i="1"/>
  <c r="P23" i="1"/>
  <c r="D23" i="2"/>
  <c r="W23" i="1"/>
  <c r="X23" i="1"/>
  <c r="AC23" i="1"/>
  <c r="AD23" i="1"/>
  <c r="Q23" i="1"/>
  <c r="R23" i="1"/>
  <c r="S23" i="1"/>
  <c r="T23" i="1"/>
  <c r="U23" i="1"/>
  <c r="V23" i="1"/>
  <c r="Y23" i="1"/>
  <c r="Z23" i="1"/>
  <c r="AA23" i="1"/>
  <c r="AB23" i="1"/>
  <c r="F23" i="2"/>
  <c r="AI23" i="1"/>
  <c r="AJ23" i="1"/>
  <c r="AE23" i="1"/>
  <c r="AF23" i="1"/>
  <c r="AG23" i="1"/>
  <c r="AH23" i="1"/>
  <c r="AK23" i="1"/>
  <c r="AL23" i="1"/>
  <c r="AM23" i="1"/>
  <c r="AN23" i="1"/>
  <c r="AO23" i="1"/>
  <c r="AP23" i="1"/>
  <c r="CC23" i="1"/>
  <c r="H23" i="2"/>
  <c r="AQ23" i="1"/>
  <c r="AR23" i="1"/>
  <c r="AS23" i="1"/>
  <c r="AT23" i="1"/>
  <c r="AU23" i="1"/>
  <c r="AV23" i="1"/>
  <c r="AW23" i="1"/>
  <c r="AX23" i="1"/>
  <c r="AY23" i="1"/>
  <c r="AZ23" i="1"/>
  <c r="J23" i="2"/>
  <c r="BA23" i="1"/>
  <c r="BB23" i="1"/>
  <c r="BY23" i="1"/>
  <c r="BC23" i="1"/>
  <c r="BD23" i="1"/>
  <c r="BE23" i="1"/>
  <c r="BF23" i="1"/>
  <c r="BG23" i="1"/>
  <c r="BH23" i="1"/>
  <c r="L23" i="2"/>
  <c r="BI23" i="1"/>
  <c r="BJ23" i="1"/>
  <c r="BO23" i="1"/>
  <c r="BP23" i="1"/>
  <c r="BQ23" i="1"/>
  <c r="BR23" i="1"/>
  <c r="N23" i="2"/>
  <c r="BM23" i="1"/>
  <c r="BN23" i="1"/>
  <c r="BK23" i="1"/>
  <c r="BL23" i="1"/>
  <c r="P23" i="2"/>
  <c r="BS23" i="1"/>
  <c r="BT23" i="1"/>
  <c r="R23" i="2"/>
  <c r="A24" i="2"/>
  <c r="B24" i="2"/>
  <c r="A24" i="1"/>
  <c r="B24" i="1"/>
  <c r="C24" i="1"/>
  <c r="D24" i="1"/>
  <c r="E24" i="1"/>
  <c r="F24" i="1"/>
  <c r="G24" i="1"/>
  <c r="H24" i="1"/>
  <c r="I24" i="1"/>
  <c r="J24" i="1"/>
  <c r="K24" i="1"/>
  <c r="L24" i="1"/>
  <c r="M24" i="1"/>
  <c r="N24" i="1"/>
  <c r="O24" i="1"/>
  <c r="P24" i="1"/>
  <c r="D24" i="2"/>
  <c r="W24" i="1"/>
  <c r="X24" i="1"/>
  <c r="AC24" i="1"/>
  <c r="AD24" i="1"/>
  <c r="Q24" i="1"/>
  <c r="R24" i="1"/>
  <c r="S24" i="1"/>
  <c r="T24" i="1"/>
  <c r="U24" i="1"/>
  <c r="V24" i="1"/>
  <c r="Y24" i="1"/>
  <c r="Z24" i="1"/>
  <c r="AA24" i="1"/>
  <c r="AB24" i="1"/>
  <c r="F24" i="2"/>
  <c r="AI24" i="1"/>
  <c r="AJ24" i="1"/>
  <c r="AE24" i="1"/>
  <c r="AF24" i="1"/>
  <c r="AG24" i="1"/>
  <c r="AH24" i="1"/>
  <c r="AK24" i="1"/>
  <c r="AL24" i="1"/>
  <c r="AM24" i="1"/>
  <c r="AN24" i="1"/>
  <c r="AO24" i="1"/>
  <c r="AP24" i="1"/>
  <c r="CC24" i="1"/>
  <c r="S24" i="2"/>
  <c r="H24" i="2"/>
  <c r="AQ24" i="1"/>
  <c r="AR24" i="1"/>
  <c r="AS24" i="1"/>
  <c r="AT24" i="1"/>
  <c r="AU24" i="1"/>
  <c r="AV24" i="1"/>
  <c r="BX24" i="1"/>
  <c r="AW24" i="1"/>
  <c r="AX24" i="1"/>
  <c r="AY24" i="1"/>
  <c r="AZ24" i="1"/>
  <c r="J24" i="2"/>
  <c r="BA24" i="1"/>
  <c r="BB24" i="1"/>
  <c r="BC24" i="1"/>
  <c r="BD24" i="1"/>
  <c r="BE24" i="1"/>
  <c r="BF24" i="1"/>
  <c r="BG24" i="1"/>
  <c r="BH24" i="1"/>
  <c r="L24" i="2"/>
  <c r="BI24" i="1"/>
  <c r="BJ24" i="1"/>
  <c r="BO24" i="1"/>
  <c r="BP24" i="1"/>
  <c r="BQ24" i="1"/>
  <c r="BR24" i="1"/>
  <c r="N24" i="2"/>
  <c r="BM24" i="1"/>
  <c r="BN24" i="1"/>
  <c r="BK24" i="1"/>
  <c r="BL24" i="1"/>
  <c r="P24" i="2"/>
  <c r="BS24" i="1"/>
  <c r="BT24" i="1"/>
  <c r="R24" i="2"/>
  <c r="A25" i="2"/>
  <c r="B25" i="2"/>
  <c r="A25" i="1"/>
  <c r="B25" i="1"/>
  <c r="C25" i="1"/>
  <c r="D25" i="1"/>
  <c r="E25" i="1"/>
  <c r="F25" i="1"/>
  <c r="G25" i="1"/>
  <c r="H25" i="1"/>
  <c r="I25" i="1"/>
  <c r="J25" i="1"/>
  <c r="K25" i="1"/>
  <c r="L25" i="1"/>
  <c r="M25" i="1"/>
  <c r="N25" i="1"/>
  <c r="O25" i="1"/>
  <c r="P25" i="1"/>
  <c r="D25" i="2"/>
  <c r="W25" i="1"/>
  <c r="X25" i="1"/>
  <c r="AC25" i="1"/>
  <c r="AD25" i="1"/>
  <c r="Q25" i="1"/>
  <c r="R25" i="1"/>
  <c r="S25" i="1"/>
  <c r="T25" i="1"/>
  <c r="U25" i="1"/>
  <c r="V25" i="1"/>
  <c r="BV25" i="1"/>
  <c r="Y25" i="1"/>
  <c r="Z25" i="1"/>
  <c r="AA25" i="1"/>
  <c r="AB25" i="1"/>
  <c r="F25" i="2"/>
  <c r="AI25" i="1"/>
  <c r="AJ25" i="1"/>
  <c r="AE25" i="1"/>
  <c r="AF25" i="1"/>
  <c r="AG25" i="1"/>
  <c r="AH25" i="1"/>
  <c r="AK25" i="1"/>
  <c r="AL25" i="1"/>
  <c r="AM25" i="1"/>
  <c r="AN25" i="1"/>
  <c r="AO25" i="1"/>
  <c r="AP25" i="1"/>
  <c r="H25" i="2"/>
  <c r="AQ25" i="1"/>
  <c r="AR25" i="1"/>
  <c r="AS25" i="1"/>
  <c r="AT25" i="1"/>
  <c r="AU25" i="1"/>
  <c r="AV25" i="1"/>
  <c r="AW25" i="1"/>
  <c r="AX25" i="1"/>
  <c r="AY25" i="1"/>
  <c r="AZ25" i="1"/>
  <c r="J25" i="2"/>
  <c r="BA25" i="1"/>
  <c r="BB25" i="1"/>
  <c r="BC25" i="1"/>
  <c r="BD25" i="1"/>
  <c r="BE25" i="1"/>
  <c r="BF25" i="1"/>
  <c r="CB25" i="1"/>
  <c r="Q25" i="2"/>
  <c r="BG25" i="1"/>
  <c r="BH25" i="1"/>
  <c r="L25" i="2"/>
  <c r="BI25" i="1"/>
  <c r="BJ25" i="1"/>
  <c r="BO25" i="1"/>
  <c r="BP25" i="1"/>
  <c r="BQ25" i="1"/>
  <c r="BR25" i="1"/>
  <c r="BZ25" i="1"/>
  <c r="N25" i="2"/>
  <c r="BM25" i="1"/>
  <c r="BN25" i="1"/>
  <c r="BK25" i="1"/>
  <c r="BL25" i="1"/>
  <c r="P25" i="2"/>
  <c r="BS25" i="1"/>
  <c r="BT25" i="1"/>
  <c r="R25" i="2"/>
  <c r="A26" i="2"/>
  <c r="B26" i="2"/>
  <c r="A26" i="1"/>
  <c r="B26" i="1"/>
  <c r="C26" i="1"/>
  <c r="D26" i="1"/>
  <c r="BW26" i="1"/>
  <c r="G26" i="2"/>
  <c r="E26" i="1"/>
  <c r="F26" i="1"/>
  <c r="G26" i="1"/>
  <c r="H26" i="1"/>
  <c r="I26" i="1"/>
  <c r="J26" i="1"/>
  <c r="K26" i="1"/>
  <c r="L26" i="1"/>
  <c r="M26" i="1"/>
  <c r="N26" i="1"/>
  <c r="O26" i="1"/>
  <c r="P26" i="1"/>
  <c r="D26" i="2"/>
  <c r="W26" i="1"/>
  <c r="X26" i="1"/>
  <c r="AC26" i="1"/>
  <c r="AD26" i="1"/>
  <c r="BV26" i="1"/>
  <c r="C26" i="5"/>
  <c r="Q26" i="1"/>
  <c r="R26" i="1"/>
  <c r="S26" i="1"/>
  <c r="T26" i="1"/>
  <c r="U26" i="1"/>
  <c r="V26" i="1"/>
  <c r="Y26" i="1"/>
  <c r="Z26" i="1"/>
  <c r="AA26" i="1"/>
  <c r="AB26" i="1"/>
  <c r="CB26" i="1"/>
  <c r="F26" i="2"/>
  <c r="AI26" i="1"/>
  <c r="AJ26" i="1"/>
  <c r="AE26" i="1"/>
  <c r="AF26" i="1"/>
  <c r="AG26" i="1"/>
  <c r="AH26" i="1"/>
  <c r="AK26" i="1"/>
  <c r="AL26" i="1"/>
  <c r="AM26" i="1"/>
  <c r="AN26" i="1"/>
  <c r="AO26" i="1"/>
  <c r="AP26" i="1"/>
  <c r="H26" i="2"/>
  <c r="AQ26" i="1"/>
  <c r="AR26" i="1"/>
  <c r="AS26" i="1"/>
  <c r="AT26" i="1"/>
  <c r="AU26" i="1"/>
  <c r="AV26" i="1"/>
  <c r="AW26" i="1"/>
  <c r="AX26" i="1"/>
  <c r="AY26" i="1"/>
  <c r="AZ26" i="1"/>
  <c r="J26" i="2"/>
  <c r="BA26" i="1"/>
  <c r="BB26" i="1"/>
  <c r="BC26" i="1"/>
  <c r="BD26" i="1"/>
  <c r="BE26" i="1"/>
  <c r="BF26" i="1"/>
  <c r="BG26" i="1"/>
  <c r="BH26" i="1"/>
  <c r="L26" i="2"/>
  <c r="BI26" i="1"/>
  <c r="BJ26" i="1"/>
  <c r="BO26" i="1"/>
  <c r="BP26" i="1"/>
  <c r="BQ26" i="1"/>
  <c r="BR26" i="1"/>
  <c r="N26" i="2"/>
  <c r="BM26" i="1"/>
  <c r="BN26" i="1"/>
  <c r="CA26" i="1"/>
  <c r="BK26" i="1"/>
  <c r="BL26" i="1"/>
  <c r="P26" i="2"/>
  <c r="BS26" i="1"/>
  <c r="BT26" i="1"/>
  <c r="R26" i="2"/>
  <c r="A10" i="5"/>
  <c r="A11" i="5"/>
  <c r="A12" i="5"/>
  <c r="A13" i="5"/>
  <c r="A14" i="5"/>
  <c r="A15" i="5"/>
  <c r="A16" i="5"/>
  <c r="A17" i="5"/>
  <c r="A18" i="5"/>
  <c r="A19" i="5"/>
  <c r="D19" i="5"/>
  <c r="A20" i="5"/>
  <c r="A21" i="5"/>
  <c r="A22" i="5"/>
  <c r="A23" i="5"/>
  <c r="A24" i="5"/>
  <c r="A25" i="5"/>
  <c r="A26" i="5"/>
  <c r="A9" i="1"/>
  <c r="B9" i="1"/>
  <c r="C9" i="1"/>
  <c r="D9" i="1"/>
  <c r="E9" i="1"/>
  <c r="F9" i="1"/>
  <c r="BX9" i="1"/>
  <c r="E9" i="5"/>
  <c r="G9" i="1"/>
  <c r="H9" i="1"/>
  <c r="I9" i="1"/>
  <c r="J9" i="1"/>
  <c r="K9" i="1"/>
  <c r="L9" i="1"/>
  <c r="M9" i="1"/>
  <c r="N9" i="1"/>
  <c r="O9" i="1"/>
  <c r="P9" i="1"/>
  <c r="W9" i="1"/>
  <c r="X9" i="1"/>
  <c r="AC9" i="1"/>
  <c r="AD9" i="1"/>
  <c r="Q9" i="1"/>
  <c r="R9" i="1"/>
  <c r="S9" i="1"/>
  <c r="T9" i="1"/>
  <c r="U9" i="1"/>
  <c r="V9" i="1"/>
  <c r="Y9" i="1"/>
  <c r="Z9" i="1"/>
  <c r="AA9" i="1"/>
  <c r="AB9" i="1"/>
  <c r="AI9" i="1"/>
  <c r="AJ9" i="1"/>
  <c r="AE9" i="1"/>
  <c r="AF9" i="1"/>
  <c r="AG9" i="1"/>
  <c r="AH9" i="1"/>
  <c r="AK9" i="1"/>
  <c r="AL9" i="1"/>
  <c r="AM9" i="1"/>
  <c r="AN9" i="1"/>
  <c r="AO9" i="1"/>
  <c r="AP9" i="1"/>
  <c r="AQ9" i="1"/>
  <c r="AR9" i="1"/>
  <c r="AS9" i="1"/>
  <c r="AT9" i="1"/>
  <c r="AU9" i="1"/>
  <c r="AV9" i="1"/>
  <c r="AW9" i="1"/>
  <c r="AX9" i="1"/>
  <c r="AY9" i="1"/>
  <c r="AZ9" i="1"/>
  <c r="BA9" i="1"/>
  <c r="BB9" i="1"/>
  <c r="BC9" i="1"/>
  <c r="BD9" i="1"/>
  <c r="BE9" i="1"/>
  <c r="BF9" i="1"/>
  <c r="BY9" i="1"/>
  <c r="K9" i="2"/>
  <c r="BG9" i="1"/>
  <c r="BH9" i="1"/>
  <c r="BI9" i="1"/>
  <c r="BJ9" i="1"/>
  <c r="BO9" i="1"/>
  <c r="BP9" i="1"/>
  <c r="BQ9" i="1"/>
  <c r="BR9" i="1"/>
  <c r="CC9" i="1"/>
  <c r="S9" i="2"/>
  <c r="BM9" i="1"/>
  <c r="BN9" i="1"/>
  <c r="BK9" i="1"/>
  <c r="BL9" i="1"/>
  <c r="BS9" i="1"/>
  <c r="BT9" i="1"/>
  <c r="L9" i="2"/>
  <c r="R9" i="2"/>
  <c r="P9" i="2"/>
  <c r="N9" i="2"/>
  <c r="J9" i="2"/>
  <c r="H9" i="2"/>
  <c r="F9" i="2"/>
  <c r="D9" i="2"/>
  <c r="B9" i="2"/>
  <c r="A9" i="2"/>
  <c r="A9" i="5"/>
  <c r="Q23" i="2"/>
  <c r="I23" i="5"/>
  <c r="J24" i="5"/>
  <c r="BV17" i="1"/>
  <c r="C16" i="2"/>
  <c r="BX14" i="1"/>
  <c r="BZ23" i="1"/>
  <c r="K19" i="2"/>
  <c r="BX23" i="1"/>
  <c r="E23" i="5"/>
  <c r="CB22" i="1"/>
  <c r="O18" i="2"/>
  <c r="BV23" i="1"/>
  <c r="E23" i="2"/>
  <c r="CB19" i="1"/>
  <c r="BX25" i="1"/>
  <c r="BX17" i="1"/>
  <c r="CB18" i="1"/>
  <c r="CC16" i="1"/>
  <c r="CC12" i="1"/>
  <c r="BU19" i="1"/>
  <c r="BU18" i="1"/>
  <c r="C18" i="2"/>
  <c r="BW17" i="1"/>
  <c r="BY12" i="1"/>
  <c r="F12" i="5"/>
  <c r="CC20" i="1"/>
  <c r="J20" i="5"/>
  <c r="BW18" i="1"/>
  <c r="CB14" i="1"/>
  <c r="BZ16" i="1"/>
  <c r="M16" i="2"/>
  <c r="CC21" i="1"/>
  <c r="BY21" i="1"/>
  <c r="K21" i="2"/>
  <c r="CB20" i="1"/>
  <c r="CC18" i="1"/>
  <c r="BZ15" i="1"/>
  <c r="CA14" i="1"/>
  <c r="BY18" i="1"/>
  <c r="CA16" i="1"/>
  <c r="H16" i="5"/>
  <c r="BV18" i="1"/>
  <c r="E18" i="2"/>
  <c r="BZ11" i="1"/>
  <c r="M11" i="2"/>
  <c r="BY11" i="1"/>
  <c r="F11" i="5"/>
  <c r="BW14" i="1"/>
  <c r="D14" i="5"/>
  <c r="BW13" i="1"/>
  <c r="BZ10" i="1"/>
  <c r="BU10" i="1"/>
  <c r="BX12" i="1"/>
  <c r="I12" i="2"/>
  <c r="O16" i="2"/>
  <c r="G11" i="5"/>
  <c r="E12" i="5"/>
  <c r="O15" i="2"/>
  <c r="I23" i="2"/>
  <c r="E26" i="2"/>
  <c r="B18" i="5"/>
  <c r="E16" i="2"/>
  <c r="M23" i="2"/>
  <c r="G23" i="5"/>
  <c r="O14" i="2"/>
  <c r="H14" i="5"/>
  <c r="I10" i="2"/>
  <c r="K11" i="2"/>
  <c r="Q16" i="2"/>
  <c r="Q14" i="2"/>
  <c r="I14" i="5"/>
  <c r="D26" i="5"/>
  <c r="F9" i="5"/>
  <c r="S20" i="2"/>
  <c r="K17" i="2"/>
  <c r="F17" i="5"/>
  <c r="C10" i="2"/>
  <c r="B10" i="5"/>
  <c r="G18" i="5"/>
  <c r="K12" i="2"/>
  <c r="I25" i="5"/>
  <c r="J9" i="5"/>
  <c r="S21" i="2"/>
  <c r="J21" i="5"/>
  <c r="G15" i="5"/>
  <c r="M15" i="2"/>
  <c r="Q12" i="2"/>
  <c r="I12" i="5"/>
  <c r="K14" i="2"/>
  <c r="F14" i="5"/>
  <c r="F21" i="5"/>
  <c r="S15" i="2"/>
  <c r="J15" i="5"/>
  <c r="S12" i="2"/>
  <c r="J12" i="5"/>
  <c r="I25" i="2"/>
  <c r="E25" i="5"/>
  <c r="G17" i="2"/>
  <c r="D17" i="5"/>
  <c r="S16" i="2"/>
  <c r="J16" i="5"/>
  <c r="I17" i="2"/>
  <c r="E17" i="5"/>
  <c r="I14" i="2"/>
  <c r="E14" i="5"/>
  <c r="BU23" i="1"/>
  <c r="CA23" i="1"/>
  <c r="S17" i="2"/>
  <c r="J17" i="5"/>
  <c r="BW10" i="1"/>
  <c r="E22" i="2"/>
  <c r="C22" i="5"/>
  <c r="M10" i="2"/>
  <c r="G10" i="5"/>
  <c r="K18" i="2"/>
  <c r="F18" i="5"/>
  <c r="BV10" i="1"/>
  <c r="Q22" i="2"/>
  <c r="I22" i="5"/>
  <c r="I26" i="5"/>
  <c r="Q26" i="2"/>
  <c r="BY22" i="1"/>
  <c r="J22" i="5"/>
  <c r="S22" i="2"/>
  <c r="CA11" i="1"/>
  <c r="CC11" i="1"/>
  <c r="C17" i="5"/>
  <c r="E17" i="2"/>
  <c r="BW21" i="1"/>
  <c r="CA21" i="1"/>
  <c r="E11" i="2"/>
  <c r="C11" i="5"/>
  <c r="I9" i="2"/>
  <c r="F23" i="5"/>
  <c r="K23" i="2"/>
  <c r="M21" i="2"/>
  <c r="D13" i="5"/>
  <c r="G13" i="2"/>
  <c r="CB9" i="1"/>
  <c r="BU9" i="1"/>
  <c r="BZ26" i="1"/>
  <c r="M20" i="2"/>
  <c r="G20" i="5"/>
  <c r="BW16" i="1"/>
  <c r="BX16" i="1"/>
  <c r="BV14" i="1"/>
  <c r="CC14" i="1"/>
  <c r="O13" i="2"/>
  <c r="H13" i="5"/>
  <c r="BY13" i="1"/>
  <c r="C25" i="5"/>
  <c r="E25" i="2"/>
  <c r="I11" i="2"/>
  <c r="E11" i="5"/>
  <c r="G18" i="2"/>
  <c r="D18" i="5"/>
  <c r="B17" i="5"/>
  <c r="C17" i="2"/>
  <c r="F15" i="5"/>
  <c r="K15" i="2"/>
  <c r="BX15" i="1"/>
  <c r="Q13" i="2"/>
  <c r="I13" i="5"/>
  <c r="M13" i="2"/>
  <c r="G13" i="5"/>
  <c r="BX13" i="1"/>
  <c r="I19" i="5"/>
  <c r="Q19" i="2"/>
  <c r="CA9" i="1"/>
  <c r="BZ9" i="1"/>
  <c r="O26" i="2"/>
  <c r="H26" i="5"/>
  <c r="M25" i="2"/>
  <c r="G25" i="5"/>
  <c r="S23" i="2"/>
  <c r="J23" i="5"/>
  <c r="BW23" i="1"/>
  <c r="D22" i="5"/>
  <c r="G22" i="2"/>
  <c r="S18" i="2"/>
  <c r="J18" i="5"/>
  <c r="BY26" i="1"/>
  <c r="F20" i="5"/>
  <c r="K20" i="2"/>
  <c r="G11" i="2"/>
  <c r="D11" i="5"/>
  <c r="I24" i="2"/>
  <c r="E24" i="5"/>
  <c r="S10" i="2"/>
  <c r="J10" i="5"/>
  <c r="B19" i="5"/>
  <c r="C19" i="2"/>
  <c r="Q20" i="2"/>
  <c r="I20" i="5"/>
  <c r="I18" i="5"/>
  <c r="Q18" i="2"/>
  <c r="CA25" i="1"/>
  <c r="BV24" i="1"/>
  <c r="BV20" i="1"/>
  <c r="C20" i="2"/>
  <c r="B20" i="5"/>
  <c r="BU12" i="1"/>
  <c r="I21" i="5"/>
  <c r="CC13" i="1"/>
  <c r="BU26" i="1"/>
  <c r="BZ24" i="1"/>
  <c r="CA22" i="1"/>
  <c r="BX22" i="1"/>
  <c r="CA12" i="1"/>
  <c r="BU11" i="1"/>
  <c r="BV12" i="1"/>
  <c r="CC25" i="1"/>
  <c r="BZ19" i="1"/>
  <c r="CD19" i="1"/>
  <c r="BX18" i="1"/>
  <c r="CD18" i="1"/>
  <c r="CB15" i="1"/>
  <c r="E15" i="2"/>
  <c r="C15" i="5"/>
  <c r="CB11" i="1"/>
  <c r="BW25" i="1"/>
  <c r="BY24" i="1"/>
  <c r="E21" i="2"/>
  <c r="C21" i="5"/>
  <c r="G20" i="2"/>
  <c r="BX20" i="1"/>
  <c r="BV19" i="1"/>
  <c r="CA19" i="1"/>
  <c r="BY16" i="1"/>
  <c r="BU14" i="1"/>
  <c r="BU13" i="1"/>
  <c r="BW9" i="1"/>
  <c r="Q10" i="2"/>
  <c r="I10" i="5"/>
  <c r="BV9" i="1"/>
  <c r="C18" i="5"/>
  <c r="G16" i="5"/>
  <c r="C23" i="5"/>
  <c r="G14" i="2"/>
  <c r="CC26" i="1"/>
  <c r="BU25" i="1"/>
  <c r="CB24" i="1"/>
  <c r="BU21" i="1"/>
  <c r="BX21" i="1"/>
  <c r="CA17" i="1"/>
  <c r="BU15" i="1"/>
  <c r="BZ14" i="1"/>
  <c r="BV13" i="1"/>
  <c r="BX26" i="1"/>
  <c r="BW24" i="1"/>
  <c r="BX19" i="1"/>
  <c r="BY25" i="1"/>
  <c r="CA24" i="1"/>
  <c r="BU24" i="1"/>
  <c r="CA20" i="1"/>
  <c r="CC19" i="1"/>
  <c r="BZ17" i="1"/>
  <c r="CD17" i="1"/>
  <c r="CB17" i="1"/>
  <c r="BZ22" i="1"/>
  <c r="BW15" i="1"/>
  <c r="BW12" i="1"/>
  <c r="BZ12" i="1"/>
  <c r="BY10" i="1"/>
  <c r="BU22" i="1"/>
  <c r="CA10" i="1"/>
  <c r="T17" i="2"/>
  <c r="K17" i="5"/>
  <c r="T18" i="2"/>
  <c r="K18" i="5"/>
  <c r="T19" i="2"/>
  <c r="K19" i="5"/>
  <c r="C13" i="2"/>
  <c r="CD13" i="1"/>
  <c r="B13" i="5"/>
  <c r="M12" i="2"/>
  <c r="G12" i="5"/>
  <c r="C26" i="2"/>
  <c r="B26" i="5"/>
  <c r="CD26" i="1"/>
  <c r="D16" i="5"/>
  <c r="G16" i="2"/>
  <c r="G12" i="2"/>
  <c r="D12" i="5"/>
  <c r="F16" i="5"/>
  <c r="K16" i="2"/>
  <c r="G25" i="2"/>
  <c r="D25" i="5"/>
  <c r="CD16" i="1"/>
  <c r="S13" i="2"/>
  <c r="J13" i="5"/>
  <c r="F10" i="5"/>
  <c r="K10" i="2"/>
  <c r="D21" i="5"/>
  <c r="G21" i="2"/>
  <c r="CD15" i="1"/>
  <c r="C15" i="2"/>
  <c r="B15" i="5"/>
  <c r="H25" i="5"/>
  <c r="O25" i="2"/>
  <c r="F25" i="5"/>
  <c r="K25" i="2"/>
  <c r="H19" i="5"/>
  <c r="O19" i="2"/>
  <c r="Q11" i="2"/>
  <c r="I11" i="5"/>
  <c r="E12" i="2"/>
  <c r="C12" i="5"/>
  <c r="F13" i="5"/>
  <c r="K13" i="2"/>
  <c r="S11" i="2"/>
  <c r="J11" i="5"/>
  <c r="G10" i="2"/>
  <c r="D10" i="5"/>
  <c r="H20" i="5"/>
  <c r="O20" i="2"/>
  <c r="M24" i="2"/>
  <c r="G24" i="5"/>
  <c r="C14" i="2"/>
  <c r="B14" i="5"/>
  <c r="CD14" i="1"/>
  <c r="K26" i="2"/>
  <c r="F26" i="5"/>
  <c r="H17" i="5"/>
  <c r="O17" i="2"/>
  <c r="E21" i="5"/>
  <c r="I21" i="2"/>
  <c r="M22" i="2"/>
  <c r="G22" i="5"/>
  <c r="I19" i="2"/>
  <c r="E19" i="5"/>
  <c r="B21" i="5"/>
  <c r="CD21" i="1"/>
  <c r="C21" i="2"/>
  <c r="C9" i="5"/>
  <c r="E9" i="2"/>
  <c r="E19" i="2"/>
  <c r="C19" i="5"/>
  <c r="C11" i="2"/>
  <c r="CD11" i="1"/>
  <c r="B11" i="5"/>
  <c r="C12" i="2"/>
  <c r="CD12" i="1"/>
  <c r="B12" i="5"/>
  <c r="G26" i="5"/>
  <c r="M26" i="2"/>
  <c r="O11" i="2"/>
  <c r="H11" i="5"/>
  <c r="C10" i="5"/>
  <c r="E10" i="2"/>
  <c r="CD10" i="1"/>
  <c r="E24" i="2"/>
  <c r="C24" i="5"/>
  <c r="S25" i="2"/>
  <c r="J25" i="5"/>
  <c r="G15" i="2"/>
  <c r="D15" i="5"/>
  <c r="I17" i="5"/>
  <c r="Q17" i="2"/>
  <c r="D24" i="5"/>
  <c r="G24" i="2"/>
  <c r="Q24" i="2"/>
  <c r="I24" i="5"/>
  <c r="I20" i="2"/>
  <c r="E20" i="5"/>
  <c r="H12" i="5"/>
  <c r="O12" i="2"/>
  <c r="M9" i="2"/>
  <c r="G9" i="5"/>
  <c r="CD9" i="1"/>
  <c r="B9" i="5"/>
  <c r="C9" i="2"/>
  <c r="M14" i="2"/>
  <c r="G14" i="5"/>
  <c r="M19" i="2"/>
  <c r="G19" i="5"/>
  <c r="B24" i="5"/>
  <c r="C24" i="2"/>
  <c r="CD24" i="1"/>
  <c r="K24" i="2"/>
  <c r="F24" i="5"/>
  <c r="E13" i="5"/>
  <c r="I13" i="2"/>
  <c r="O24" i="2"/>
  <c r="H24" i="5"/>
  <c r="H10" i="5"/>
  <c r="O10" i="2"/>
  <c r="M17" i="2"/>
  <c r="G17" i="5"/>
  <c r="I26" i="2"/>
  <c r="E26" i="5"/>
  <c r="B25" i="5"/>
  <c r="CD25" i="1"/>
  <c r="C25" i="2"/>
  <c r="Q15" i="2"/>
  <c r="I15" i="5"/>
  <c r="I22" i="2"/>
  <c r="E22" i="5"/>
  <c r="G23" i="2"/>
  <c r="D23" i="5"/>
  <c r="H9" i="5"/>
  <c r="O9" i="2"/>
  <c r="I15" i="2"/>
  <c r="E15" i="5"/>
  <c r="J14" i="5"/>
  <c r="S14" i="2"/>
  <c r="Q9" i="2"/>
  <c r="I9" i="5"/>
  <c r="O23" i="2"/>
  <c r="H23" i="5"/>
  <c r="I16" i="2"/>
  <c r="E16" i="5"/>
  <c r="C22" i="2"/>
  <c r="B22" i="5"/>
  <c r="CD22" i="1"/>
  <c r="S19" i="2"/>
  <c r="J19" i="5"/>
  <c r="C13" i="5"/>
  <c r="E13" i="2"/>
  <c r="J26" i="5"/>
  <c r="S26" i="2"/>
  <c r="D9" i="5"/>
  <c r="G9" i="2"/>
  <c r="E18" i="5"/>
  <c r="I18" i="2"/>
  <c r="H22" i="5"/>
  <c r="O22" i="2"/>
  <c r="C20" i="5"/>
  <c r="E20" i="2"/>
  <c r="CD20" i="1"/>
  <c r="E14" i="2"/>
  <c r="C14" i="5"/>
  <c r="H21" i="5"/>
  <c r="O21" i="2"/>
  <c r="F22" i="5"/>
  <c r="K22" i="2"/>
  <c r="B23" i="5"/>
  <c r="C23" i="2"/>
  <c r="CD23" i="1"/>
  <c r="K15" i="5"/>
  <c r="T15" i="2"/>
  <c r="K26" i="5"/>
  <c r="T26" i="2"/>
  <c r="K9" i="5"/>
  <c r="T9" i="2"/>
  <c r="T13" i="2"/>
  <c r="K13" i="5"/>
  <c r="K23" i="5"/>
  <c r="T23" i="2"/>
  <c r="T22" i="2"/>
  <c r="K22" i="5"/>
  <c r="T10" i="2"/>
  <c r="K10" i="5"/>
  <c r="K12" i="5"/>
  <c r="T12" i="2"/>
  <c r="T16" i="2"/>
  <c r="K16" i="5"/>
  <c r="T20" i="2"/>
  <c r="K20" i="5"/>
  <c r="K14" i="5"/>
  <c r="T14" i="2"/>
  <c r="T21" i="2"/>
  <c r="K21" i="5"/>
  <c r="T11" i="2"/>
  <c r="K11" i="5"/>
  <c r="K25" i="5"/>
  <c r="T25" i="2"/>
  <c r="K24" i="5"/>
  <c r="T24" i="2"/>
</calcChain>
</file>

<file path=xl/sharedStrings.xml><?xml version="1.0" encoding="utf-8"?>
<sst xmlns="http://schemas.openxmlformats.org/spreadsheetml/2006/main" count="215" uniqueCount="191">
  <si>
    <t>LeafN</t>
  </si>
  <si>
    <t>LeafP</t>
  </si>
  <si>
    <t>LeafK</t>
  </si>
  <si>
    <t>LeafCa</t>
  </si>
  <si>
    <t>LeafMg</t>
  </si>
  <si>
    <t>LeafFe</t>
  </si>
  <si>
    <t>LeafMn</t>
  </si>
  <si>
    <t>LeafZn</t>
  </si>
  <si>
    <t>LeafCu</t>
  </si>
  <si>
    <t>LNP</t>
  </si>
  <si>
    <t>FLNP</t>
  </si>
  <si>
    <t>LNK</t>
  </si>
  <si>
    <t>FLNK</t>
  </si>
  <si>
    <t>LCAN</t>
  </si>
  <si>
    <t>FLCAN</t>
  </si>
  <si>
    <t>LMGN</t>
  </si>
  <si>
    <t>FLMGN</t>
  </si>
  <si>
    <t>LNMN</t>
  </si>
  <si>
    <t>FLNMN</t>
  </si>
  <si>
    <t>LFEN</t>
  </si>
  <si>
    <t>FLFEN</t>
  </si>
  <si>
    <t>LZNN</t>
  </si>
  <si>
    <t>FLZNN</t>
  </si>
  <si>
    <t>LNCU</t>
  </si>
  <si>
    <t>FLNCU</t>
  </si>
  <si>
    <t>LKP</t>
  </si>
  <si>
    <t>FLKP</t>
  </si>
  <si>
    <t>LCAP</t>
  </si>
  <si>
    <t>FLCAP</t>
  </si>
  <si>
    <t>LMGP</t>
  </si>
  <si>
    <t>FLMGP</t>
  </si>
  <si>
    <t>LPMN</t>
  </si>
  <si>
    <t>FLPMN</t>
  </si>
  <si>
    <t>LFEP</t>
  </si>
  <si>
    <t>FLFEP</t>
  </si>
  <si>
    <t>LZNP</t>
  </si>
  <si>
    <t>FLZNP</t>
  </si>
  <si>
    <t>LPCU</t>
  </si>
  <si>
    <t>FLPCU</t>
  </si>
  <si>
    <t>LCAK</t>
  </si>
  <si>
    <t>FLCAK</t>
  </si>
  <si>
    <t>LMGK</t>
  </si>
  <si>
    <t>FLMGK</t>
  </si>
  <si>
    <t>LKMN</t>
  </si>
  <si>
    <t>FLKMN</t>
  </si>
  <si>
    <t>LFEK</t>
  </si>
  <si>
    <t>FLFEK</t>
  </si>
  <si>
    <t>LZNK</t>
  </si>
  <si>
    <t>FLZNK</t>
  </si>
  <si>
    <t>LCUK</t>
  </si>
  <si>
    <t>FLCUK</t>
  </si>
  <si>
    <t>LCAMG</t>
  </si>
  <si>
    <t>FLCAMG</t>
  </si>
  <si>
    <t>LCAMN</t>
  </si>
  <si>
    <t>FLCAMN</t>
  </si>
  <si>
    <t>LFECA</t>
  </si>
  <si>
    <t>FLFECA</t>
  </si>
  <si>
    <t>LCAZN</t>
  </si>
  <si>
    <t>FLCAZN</t>
  </si>
  <si>
    <t>LCACU</t>
  </si>
  <si>
    <t>FLCACU</t>
  </si>
  <si>
    <t>LMGMN</t>
  </si>
  <si>
    <t>FLMGMN</t>
  </si>
  <si>
    <t>LMGFE</t>
  </si>
  <si>
    <t>FLMGFE</t>
  </si>
  <si>
    <t>LMGZN</t>
  </si>
  <si>
    <t>FLMGZN</t>
  </si>
  <si>
    <t>LMGCU</t>
  </si>
  <si>
    <t>FLMGCU</t>
  </si>
  <si>
    <t>LFEMN</t>
  </si>
  <si>
    <t>FLFEMN</t>
  </si>
  <si>
    <t>LZNMN</t>
  </si>
  <si>
    <t>FLZNMN</t>
  </si>
  <si>
    <t>LMNCU</t>
  </si>
  <si>
    <t>FLMNCU</t>
  </si>
  <si>
    <t>LZNFE</t>
  </si>
  <si>
    <t>FLZNFE</t>
  </si>
  <si>
    <t>LFECU</t>
  </si>
  <si>
    <t>FLFECU</t>
  </si>
  <si>
    <t>LZNCU</t>
  </si>
  <si>
    <t>FLZNCU</t>
  </si>
  <si>
    <t>Ca Index</t>
  </si>
  <si>
    <t>N Index</t>
  </si>
  <si>
    <t>P Index</t>
  </si>
  <si>
    <t>K Index</t>
  </si>
  <si>
    <t>Mg Index</t>
  </si>
  <si>
    <t>Fe Index</t>
  </si>
  <si>
    <t>Mn Index</t>
  </si>
  <si>
    <t>Zn Index</t>
  </si>
  <si>
    <t>Cu Index</t>
  </si>
  <si>
    <t>NBI</t>
  </si>
  <si>
    <t>-------------------------mg/kg-----------------------</t>
  </si>
  <si>
    <t>Field1</t>
  </si>
  <si>
    <t>Field2</t>
  </si>
  <si>
    <t>Field3</t>
  </si>
  <si>
    <t>Field4</t>
  </si>
  <si>
    <t>Field5</t>
  </si>
  <si>
    <t>Field6</t>
  </si>
  <si>
    <t>Field7</t>
  </si>
  <si>
    <t>Field8</t>
  </si>
  <si>
    <t>Sugarcane leaf nutrient critical values and optimum ranges.</t>
  </si>
  <si>
    <t>Nutrient</t>
  </si>
  <si>
    <t>Critical Value</t>
  </si>
  <si>
    <t>Optimum Range</t>
  </si>
  <si>
    <t>-----------------------------%----------------------------</t>
  </si>
  <si>
    <t>Nitrogen (N)</t>
  </si>
  <si>
    <t>2.00-2.60</t>
  </si>
  <si>
    <t>Phosphorus (P)</t>
  </si>
  <si>
    <t>0.22-0.30</t>
  </si>
  <si>
    <t>Potassium (K)</t>
  </si>
  <si>
    <t>1.00-1.60</t>
  </si>
  <si>
    <t>Calcium (Ca)</t>
  </si>
  <si>
    <t>0.20-0.45</t>
  </si>
  <si>
    <t>Magnesium (Mg)</t>
  </si>
  <si>
    <t>0.15-0.32</t>
  </si>
  <si>
    <t>Sulfur (S)</t>
  </si>
  <si>
    <t>0.13-0.18</t>
  </si>
  <si>
    <t>Silicon (Si)</t>
  </si>
  <si>
    <t>&gt;0.70</t>
  </si>
  <si>
    <t>----------------------------mg/kg-------------------------</t>
  </si>
  <si>
    <t>Iron (Fe)</t>
  </si>
  <si>
    <t>-----</t>
  </si>
  <si>
    <t>50-105</t>
  </si>
  <si>
    <t>Manganese (Mn)</t>
  </si>
  <si>
    <t>12-100</t>
  </si>
  <si>
    <t>Zinc (Zn)</t>
  </si>
  <si>
    <t>16-32</t>
  </si>
  <si>
    <t>Copper (Cu)</t>
  </si>
  <si>
    <t>4-8</t>
  </si>
  <si>
    <t>Boron (B)</t>
  </si>
  <si>
    <t>15-20</t>
  </si>
  <si>
    <t>Molybdenum (Mo)</t>
  </si>
  <si>
    <t>From Anderson and Bowen (1990), except for Si values (J. M. McCray,</t>
  </si>
  <si>
    <t>unpublished data). All values are from Florida except S and Mo, which</t>
  </si>
  <si>
    <t>are from Louisiana.</t>
  </si>
  <si>
    <t>DRIS Indices</t>
  </si>
  <si>
    <t>N</t>
  </si>
  <si>
    <t>P</t>
  </si>
  <si>
    <t>K</t>
  </si>
  <si>
    <t>Ca</t>
  </si>
  <si>
    <t>Mg</t>
  </si>
  <si>
    <t>Fe</t>
  </si>
  <si>
    <t>Mn</t>
  </si>
  <si>
    <t>Zn</t>
  </si>
  <si>
    <t>Cu</t>
  </si>
  <si>
    <t>%</t>
  </si>
  <si>
    <t>DRIS</t>
  </si>
  <si>
    <t>Leaf N</t>
  </si>
  <si>
    <t>Leaf P</t>
  </si>
  <si>
    <t>Leaf K</t>
  </si>
  <si>
    <t>Leaf Ca</t>
  </si>
  <si>
    <t>Leaf Mg</t>
  </si>
  <si>
    <t>Leaf Fe</t>
  </si>
  <si>
    <t>Leaf Mn</t>
  </si>
  <si>
    <t>Leaf Zn</t>
  </si>
  <si>
    <t>Leaf Cu</t>
  </si>
  <si>
    <t>Sugarcane Leaf Nutrient Concentration Entry Sheet</t>
  </si>
  <si>
    <t>SampleID</t>
  </si>
  <si>
    <t>---------------------------------%------------------------------</t>
  </si>
  <si>
    <t xml:space="preserve">Note that mg/kg is the same as ppm. </t>
  </si>
  <si>
    <t xml:space="preserve"> All data entry should be in the correct units for each nutrient as shown below.</t>
  </si>
  <si>
    <t>Important!</t>
  </si>
  <si>
    <t>mg/kg</t>
  </si>
  <si>
    <t>LeafSi</t>
  </si>
  <si>
    <t xml:space="preserve">4.  A negative DRIS index value indicates the nutrient is insufficient relative to other nutrient levels. A positive DRIS index value indicates the nutrient is excessive relative to other nutrients. A DRIS index value of zero or near zero indicates the nutrient is in optimum balance with other nutrients. DRIS index values less than -10 are colored red and DRIS index values greater than +10 are colored blue. </t>
  </si>
  <si>
    <t xml:space="preserve">5.  Nutrient Balance Index (NBI = Sum of the absolute value of all DRIS indices for a sample) is used to indicate the overall nutrient balance for a sample; the higher the number the more imbalance. NBI values greater than 80 are bolded black. </t>
  </si>
  <si>
    <t>Sugarcane DRIS Calculator Notes:</t>
  </si>
  <si>
    <t>This sheet is protected. It is used to calculate DRIS indices on other pages in this spreadsheet.</t>
  </si>
  <si>
    <t>A negative DRIS index value indicates the nutrient is insufficient relative to other nutrient levels. A positive DRIS index value indicates the nutrient is excessive relative to other nutrients.</t>
  </si>
  <si>
    <t xml:space="preserve"> A DRIS index value of zero or near zero indicates the nutrient is in optimum balance with other nutrients. </t>
  </si>
  <si>
    <t xml:space="preserve">DRIS index values less than -10 are colored red and DRIS index values greater than +10 are colored blue. </t>
  </si>
  <si>
    <t xml:space="preserve">Nutrient concentrations below the critical value are colored red and concentrations above the optimum range are colored blue. </t>
  </si>
  <si>
    <t xml:space="preserve">A negative DRIS index value indicates the nutrient is insufficient relative to other nutrient levels. </t>
  </si>
  <si>
    <t>A positive DRIS index value indicates the nutrient is excessive relative to other nutrients.</t>
  </si>
  <si>
    <t>SUGARCANE LEAF DRIS INDICES</t>
  </si>
  <si>
    <t>SUGARCANE LEAF DRIS INDICES AND NUTRIENT CONCENTRATIONS</t>
  </si>
  <si>
    <r>
      <t xml:space="preserve">Also, for the DRIS calculator to work properly it is important to have an entry for </t>
    </r>
    <r>
      <rPr>
        <b/>
        <sz val="10"/>
        <color indexed="12"/>
        <rFont val="Arial"/>
        <family val="2"/>
      </rPr>
      <t>each</t>
    </r>
    <r>
      <rPr>
        <b/>
        <sz val="10"/>
        <rFont val="Arial"/>
        <family val="2"/>
      </rPr>
      <t xml:space="preserve"> of first 9 listed nutrients (Si is optional).</t>
    </r>
  </si>
  <si>
    <t>2.  After you enter your leaf concentrations select the Calculate DRIS Indices button. Then you will be able to view the DRIS indices alone and paired with the concentrations for each nutrient.</t>
  </si>
  <si>
    <t xml:space="preserve">3.  Nutrient concentrations below the critical value are colored red and concentrations above the optimum range are colored blue. </t>
  </si>
  <si>
    <t>6.  The DRIS values and NBI values designated out of range (red or blue) are best guess estimates at this point. Specific recommendations will be revised once analyses of research currently being conducted is completed.</t>
  </si>
  <si>
    <t>1.  For the DRIS calculator to work properly it is important to have an entry for each of the first 9 listed nutrients, LeafN through LeafCu. LeafSi is included for comparison of entered values with critical values, but DRIS norms for silicon are not available at this time.</t>
  </si>
  <si>
    <t>Fielda</t>
  </si>
  <si>
    <t>Fieldb</t>
  </si>
  <si>
    <t>Fieldc</t>
  </si>
  <si>
    <t>Fieldd</t>
  </si>
  <si>
    <t>Fielde</t>
  </si>
  <si>
    <t>Fieldf</t>
  </si>
  <si>
    <t>Fieldg</t>
  </si>
  <si>
    <t>Fieldh</t>
  </si>
  <si>
    <t>Fieldi</t>
  </si>
  <si>
    <t>Fieldj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</si>
</sst>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000"/>
  </numFmts>
  <fonts count="14" x14ac:knownFonts="1">
    <font>
      <sz val="10"/>
      <name val="Arial"/>
    </font>
    <font>
      <b/>
      <sz val="10"/>
      <name val="Arial"/>
      <family val="2"/>
    </font>
    <font>
      <sz val="8"/>
      <name val="Arial"/>
      <family val="2"/>
    </font>
    <font>
      <sz val="10"/>
      <name val="Arial"/>
      <family val="2"/>
    </font>
    <font>
      <b/>
      <sz val="10"/>
      <color indexed="12"/>
      <name val="Arial"/>
      <family val="2"/>
    </font>
    <font>
      <b/>
      <u/>
      <sz val="10"/>
      <color indexed="10"/>
      <name val="Arial"/>
      <family val="2"/>
    </font>
    <font>
      <b/>
      <sz val="12"/>
      <color indexed="8"/>
      <name val="Arial"/>
      <family val="2"/>
    </font>
    <font>
      <sz val="10"/>
      <color indexed="10"/>
      <name val="Arial"/>
      <family val="2"/>
    </font>
    <font>
      <sz val="10"/>
      <color indexed="12"/>
      <name val="Arial"/>
      <family val="2"/>
    </font>
    <font>
      <sz val="10"/>
      <color indexed="8"/>
      <name val="Arial"/>
      <family val="2"/>
    </font>
    <font>
      <sz val="11"/>
      <name val="Arial"/>
      <family val="2"/>
    </font>
    <font>
      <b/>
      <sz val="11"/>
      <name val="Arial"/>
      <family val="2"/>
    </font>
    <font>
      <b/>
      <u/>
      <sz val="10"/>
      <name val="Arial"/>
      <family val="2"/>
    </font>
    <font>
      <b/>
      <u/>
      <sz val="12"/>
      <name val="Arial"/>
      <family val="2"/>
    </font>
  </fonts>
  <fills count="3">
    <fill>
      <patternFill patternType="none"/>
    </fill>
    <fill>
      <patternFill patternType="gray125"/>
    </fill>
    <fill>
      <patternFill patternType="solid">
        <fgColor indexed="12"/>
        <bgColor indexed="64"/>
      </patternFill>
    </fill>
  </fills>
  <borders count="38">
    <border>
      <left/>
      <right/>
      <top/>
      <bottom/>
      <diagonal/>
    </border>
    <border>
      <left/>
      <right/>
      <top/>
      <bottom style="thin">
        <color indexed="64"/>
      </bottom>
      <diagonal/>
    </border>
    <border>
      <left style="thin">
        <color indexed="64"/>
      </left>
      <right/>
      <top/>
      <bottom/>
      <diagonal/>
    </border>
    <border>
      <left/>
      <right/>
      <top style="double">
        <color indexed="64"/>
      </top>
      <bottom/>
      <diagonal/>
    </border>
    <border>
      <left/>
      <right/>
      <top/>
      <bottom style="double">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double">
        <color indexed="64"/>
      </right>
      <top/>
      <bottom/>
      <diagonal/>
    </border>
    <border>
      <left style="thin">
        <color indexed="64"/>
      </left>
      <right style="thin">
        <color indexed="64"/>
      </right>
      <top/>
      <bottom/>
      <diagonal/>
    </border>
    <border>
      <left/>
      <right/>
      <top style="thick">
        <color indexed="53"/>
      </top>
      <bottom/>
      <diagonal/>
    </border>
    <border>
      <left/>
      <right style="thick">
        <color indexed="53"/>
      </right>
      <top style="thick">
        <color indexed="53"/>
      </top>
      <bottom/>
      <diagonal/>
    </border>
    <border>
      <left/>
      <right style="thick">
        <color indexed="53"/>
      </right>
      <top/>
      <bottom/>
      <diagonal/>
    </border>
    <border>
      <left/>
      <right/>
      <top/>
      <bottom style="thick">
        <color indexed="53"/>
      </bottom>
      <diagonal/>
    </border>
    <border>
      <left/>
      <right style="thick">
        <color indexed="53"/>
      </right>
      <top/>
      <bottom style="thick">
        <color indexed="53"/>
      </bottom>
      <diagonal/>
    </border>
    <border>
      <left style="thick">
        <color indexed="53"/>
      </left>
      <right/>
      <top style="thick">
        <color indexed="53"/>
      </top>
      <bottom/>
      <diagonal/>
    </border>
    <border>
      <left style="thick">
        <color indexed="53"/>
      </left>
      <right/>
      <top/>
      <bottom/>
      <diagonal/>
    </border>
    <border>
      <left style="thick">
        <color indexed="53"/>
      </left>
      <right/>
      <top/>
      <bottom style="thick">
        <color indexed="53"/>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60">
    <xf numFmtId="0" fontId="0" fillId="0" borderId="0" xfId="0"/>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49" fontId="0" fillId="0" borderId="0" xfId="0" applyNumberFormat="1" applyAlignment="1">
      <alignment horizontal="center"/>
    </xf>
    <xf numFmtId="0" fontId="0" fillId="0" borderId="1" xfId="0" applyBorder="1" applyAlignment="1">
      <alignment horizontal="center"/>
    </xf>
    <xf numFmtId="166" fontId="0" fillId="0" borderId="0" xfId="0" applyNumberFormat="1" applyAlignment="1">
      <alignment horizontal="center"/>
    </xf>
    <xf numFmtId="0" fontId="0" fillId="0" borderId="0" xfId="0" applyBorder="1" applyAlignment="1">
      <alignment horizontal="center"/>
    </xf>
    <xf numFmtId="166" fontId="0" fillId="0" borderId="0" xfId="0" applyNumberFormat="1" applyBorder="1" applyAlignment="1">
      <alignment horizontal="center"/>
    </xf>
    <xf numFmtId="2" fontId="0" fillId="0" borderId="0" xfId="0" applyNumberFormat="1" applyBorder="1" applyAlignment="1">
      <alignment horizontal="center"/>
    </xf>
    <xf numFmtId="0" fontId="0" fillId="0" borderId="0" xfId="0"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0" fillId="0" borderId="1" xfId="0" applyBorder="1" applyAlignment="1">
      <alignment horizontal="left"/>
    </xf>
    <xf numFmtId="49" fontId="0" fillId="0" borderId="1" xfId="0" applyNumberFormat="1" applyBorder="1" applyAlignment="1">
      <alignment horizontal="center"/>
    </xf>
    <xf numFmtId="0" fontId="0" fillId="0" borderId="2" xfId="0" applyBorder="1"/>
    <xf numFmtId="0" fontId="0" fillId="0" borderId="3" xfId="0" applyBorder="1"/>
    <xf numFmtId="49" fontId="3" fillId="0" borderId="4" xfId="0" applyNumberFormat="1" applyFont="1" applyBorder="1" applyAlignment="1">
      <alignment horizontal="center"/>
    </xf>
    <xf numFmtId="0" fontId="0" fillId="0" borderId="0" xfId="0" applyBorder="1" applyAlignment="1">
      <alignment horizontal="left"/>
    </xf>
    <xf numFmtId="166" fontId="0" fillId="0" borderId="0" xfId="0" applyNumberFormat="1" applyAlignment="1">
      <alignment horizontal="left"/>
    </xf>
    <xf numFmtId="2" fontId="0" fillId="0" borderId="0" xfId="0" applyNumberFormat="1"/>
    <xf numFmtId="2" fontId="0" fillId="0" borderId="2" xfId="0" applyNumberFormat="1" applyBorder="1"/>
    <xf numFmtId="0" fontId="0" fillId="0" borderId="0" xfId="0" applyBorder="1"/>
    <xf numFmtId="0" fontId="0" fillId="0" borderId="5" xfId="0" applyBorder="1"/>
    <xf numFmtId="0" fontId="0" fillId="0" borderId="6" xfId="0" applyBorder="1"/>
    <xf numFmtId="49" fontId="1" fillId="0" borderId="7" xfId="0" applyNumberFormat="1" applyFont="1" applyBorder="1" applyAlignment="1">
      <alignment horizontal="center"/>
    </xf>
    <xf numFmtId="0" fontId="0" fillId="0" borderId="8" xfId="0" applyBorder="1"/>
    <xf numFmtId="2" fontId="0" fillId="0" borderId="8" xfId="0" applyNumberFormat="1" applyBorder="1"/>
    <xf numFmtId="2" fontId="3" fillId="0" borderId="9" xfId="0" applyNumberFormat="1" applyFont="1" applyBorder="1" applyAlignment="1">
      <alignment horizontal="center"/>
    </xf>
    <xf numFmtId="2" fontId="0" fillId="0" borderId="9" xfId="0" applyNumberFormat="1" applyBorder="1" applyAlignment="1">
      <alignment horizontal="center"/>
    </xf>
    <xf numFmtId="2" fontId="0" fillId="0" borderId="3" xfId="0" applyNumberFormat="1" applyBorder="1"/>
    <xf numFmtId="2" fontId="0" fillId="0" borderId="0" xfId="0" applyNumberFormat="1" applyBorder="1"/>
    <xf numFmtId="2" fontId="0" fillId="0" borderId="4" xfId="0" applyNumberFormat="1" applyBorder="1" applyAlignment="1">
      <alignment horizontal="center"/>
    </xf>
    <xf numFmtId="165" fontId="0" fillId="0" borderId="10" xfId="0" applyNumberFormat="1" applyBorder="1"/>
    <xf numFmtId="165" fontId="0" fillId="0" borderId="11" xfId="0" applyNumberFormat="1" applyBorder="1"/>
    <xf numFmtId="165" fontId="3" fillId="0" borderId="12" xfId="0" applyNumberFormat="1" applyFont="1" applyBorder="1" applyAlignment="1">
      <alignment horizontal="center"/>
    </xf>
    <xf numFmtId="165" fontId="0" fillId="0" borderId="3" xfId="0" applyNumberFormat="1" applyBorder="1"/>
    <xf numFmtId="165" fontId="0" fillId="0" borderId="0" xfId="0" applyNumberFormat="1" applyBorder="1"/>
    <xf numFmtId="165" fontId="0" fillId="0" borderId="4" xfId="0" applyNumberFormat="1" applyBorder="1" applyAlignment="1">
      <alignment horizontal="center"/>
    </xf>
    <xf numFmtId="165" fontId="0" fillId="0" borderId="0" xfId="0" applyNumberFormat="1"/>
    <xf numFmtId="165" fontId="0" fillId="0" borderId="12" xfId="0" applyNumberFormat="1" applyBorder="1" applyAlignment="1">
      <alignment horizontal="center"/>
    </xf>
    <xf numFmtId="165" fontId="3" fillId="0" borderId="4" xfId="0" applyNumberFormat="1" applyFont="1" applyBorder="1" applyAlignment="1">
      <alignment horizontal="center"/>
    </xf>
    <xf numFmtId="165" fontId="3" fillId="0" borderId="12" xfId="0" applyNumberFormat="1" applyFont="1" applyFill="1" applyBorder="1" applyAlignment="1">
      <alignment horizontal="center"/>
    </xf>
    <xf numFmtId="165" fontId="0" fillId="0" borderId="4" xfId="0" applyNumberFormat="1" applyBorder="1"/>
    <xf numFmtId="166" fontId="0" fillId="0" borderId="13" xfId="0" applyNumberFormat="1" applyBorder="1" applyAlignment="1">
      <alignment horizontal="center"/>
    </xf>
    <xf numFmtId="0" fontId="0" fillId="0" borderId="13" xfId="0" applyBorder="1" applyAlignment="1">
      <alignment horizontal="center"/>
    </xf>
    <xf numFmtId="2" fontId="0" fillId="0" borderId="13" xfId="0" applyNumberFormat="1" applyBorder="1" applyAlignment="1">
      <alignment horizontal="center"/>
    </xf>
    <xf numFmtId="2" fontId="8" fillId="0" borderId="2" xfId="0" applyNumberFormat="1" applyFont="1" applyBorder="1"/>
    <xf numFmtId="2" fontId="9" fillId="0" borderId="0" xfId="0" applyNumberFormat="1" applyFont="1"/>
    <xf numFmtId="2" fontId="8" fillId="0" borderId="0" xfId="0" applyNumberFormat="1" applyFont="1"/>
    <xf numFmtId="2" fontId="9" fillId="0" borderId="2" xfId="0" applyNumberFormat="1" applyFont="1" applyBorder="1"/>
    <xf numFmtId="0" fontId="7" fillId="0" borderId="2" xfId="0" applyFont="1" applyBorder="1"/>
    <xf numFmtId="0" fontId="7" fillId="0" borderId="0" xfId="0" applyFont="1"/>
    <xf numFmtId="165" fontId="1" fillId="0" borderId="0" xfId="0" applyNumberFormat="1" applyFont="1"/>
    <xf numFmtId="165" fontId="3" fillId="0" borderId="0" xfId="0" applyNumberFormat="1" applyFont="1"/>
    <xf numFmtId="165" fontId="8" fillId="0" borderId="11" xfId="0" applyNumberFormat="1" applyFont="1" applyBorder="1"/>
    <xf numFmtId="165" fontId="9" fillId="0" borderId="11" xfId="0" applyNumberFormat="1" applyFont="1" applyBorder="1"/>
    <xf numFmtId="165" fontId="9" fillId="0" borderId="0" xfId="0" applyNumberFormat="1" applyFont="1"/>
    <xf numFmtId="165" fontId="7" fillId="0" borderId="0" xfId="0" applyNumberFormat="1" applyFont="1"/>
    <xf numFmtId="165" fontId="8" fillId="0" borderId="0" xfId="0" applyNumberFormat="1" applyFont="1"/>
    <xf numFmtId="165" fontId="7" fillId="0" borderId="11" xfId="0" applyNumberFormat="1" applyFont="1" applyBorder="1"/>
    <xf numFmtId="0" fontId="8" fillId="0" borderId="2" xfId="0" applyFont="1" applyBorder="1"/>
    <xf numFmtId="0" fontId="9" fillId="0" borderId="0" xfId="0" applyFont="1"/>
    <xf numFmtId="0" fontId="9" fillId="0" borderId="2" xfId="0" applyFont="1" applyBorder="1"/>
    <xf numFmtId="165" fontId="0" fillId="0" borderId="14" xfId="0" applyNumberFormat="1" applyBorder="1"/>
    <xf numFmtId="165" fontId="8" fillId="0" borderId="2" xfId="0" applyNumberFormat="1" applyFont="1" applyBorder="1"/>
    <xf numFmtId="165" fontId="7" fillId="0" borderId="2" xfId="0" applyNumberFormat="1" applyFont="1" applyBorder="1"/>
    <xf numFmtId="165" fontId="1" fillId="0" borderId="15" xfId="0" applyNumberFormat="1" applyFont="1" applyBorder="1"/>
    <xf numFmtId="165" fontId="3" fillId="0" borderId="15" xfId="0" applyNumberFormat="1" applyFont="1" applyBorder="1"/>
    <xf numFmtId="165" fontId="9" fillId="0" borderId="2" xfId="0" applyNumberFormat="1" applyFont="1" applyBorder="1"/>
    <xf numFmtId="165" fontId="0" fillId="0" borderId="2" xfId="0" applyNumberFormat="1" applyBorder="1"/>
    <xf numFmtId="165" fontId="0" fillId="0" borderId="15" xfId="0" applyNumberFormat="1" applyBorder="1"/>
    <xf numFmtId="0" fontId="0" fillId="2" borderId="16" xfId="0" applyFill="1" applyBorder="1"/>
    <xf numFmtId="0" fontId="0" fillId="2" borderId="17" xfId="0" applyFill="1" applyBorder="1"/>
    <xf numFmtId="0" fontId="0" fillId="2" borderId="0" xfId="0" applyFill="1" applyBorder="1"/>
    <xf numFmtId="0" fontId="0" fillId="2" borderId="18"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0" fontId="0" fillId="2" borderId="23" xfId="0" applyFill="1" applyBorder="1"/>
    <xf numFmtId="0" fontId="0" fillId="0" borderId="18" xfId="0" applyFill="1" applyBorder="1"/>
    <xf numFmtId="0" fontId="10" fillId="0" borderId="0" xfId="0" applyFont="1"/>
    <xf numFmtId="0" fontId="11" fillId="0" borderId="0" xfId="0" applyFont="1" applyAlignment="1">
      <alignment horizontal="center"/>
    </xf>
    <xf numFmtId="0" fontId="10" fillId="0" borderId="0" xfId="0" applyFont="1" applyAlignment="1">
      <alignment horizontal="left" vertical="center" wrapText="1" readingOrder="1"/>
    </xf>
    <xf numFmtId="0" fontId="10" fillId="0" borderId="0" xfId="0" applyFont="1" applyAlignment="1">
      <alignment horizontal="left" vertical="center"/>
    </xf>
    <xf numFmtId="166" fontId="1" fillId="0" borderId="0" xfId="0" applyNumberFormat="1" applyFont="1" applyAlignment="1">
      <alignment horizontal="left"/>
    </xf>
    <xf numFmtId="49" fontId="1" fillId="0" borderId="5" xfId="0" applyNumberFormat="1" applyFont="1" applyBorder="1" applyAlignment="1">
      <alignment horizontal="center"/>
    </xf>
    <xf numFmtId="165" fontId="1" fillId="0" borderId="24" xfId="0" applyNumberFormat="1" applyFont="1" applyBorder="1" applyAlignment="1">
      <alignment horizontal="center"/>
    </xf>
    <xf numFmtId="165" fontId="0" fillId="0" borderId="25" xfId="0" applyNumberFormat="1" applyBorder="1"/>
    <xf numFmtId="0" fontId="0" fillId="0" borderId="4" xfId="0" applyBorder="1"/>
    <xf numFmtId="2" fontId="0" fillId="0" borderId="9" xfId="0" applyNumberFormat="1" applyBorder="1"/>
    <xf numFmtId="165" fontId="0" fillId="0" borderId="12" xfId="0" applyNumberFormat="1" applyBorder="1"/>
    <xf numFmtId="2" fontId="0" fillId="0" borderId="4" xfId="0" applyNumberFormat="1" applyBorder="1"/>
    <xf numFmtId="0" fontId="3" fillId="0" borderId="7" xfId="0" applyFont="1" applyBorder="1" applyAlignment="1">
      <alignment horizontal="left" vertical="center" readingOrder="1"/>
    </xf>
    <xf numFmtId="2" fontId="1" fillId="0" borderId="26" xfId="0" applyNumberFormat="1" applyFont="1" applyBorder="1" applyAlignment="1">
      <alignment horizontal="center"/>
    </xf>
    <xf numFmtId="2" fontId="9" fillId="0" borderId="15" xfId="0" applyNumberFormat="1" applyFont="1" applyBorder="1"/>
    <xf numFmtId="2" fontId="7" fillId="0" borderId="15" xfId="0" applyNumberFormat="1" applyFont="1" applyBorder="1"/>
    <xf numFmtId="2" fontId="0" fillId="0" borderId="15" xfId="0" applyNumberFormat="1" applyBorder="1"/>
    <xf numFmtId="2" fontId="9" fillId="0" borderId="27" xfId="0" applyNumberFormat="1" applyFont="1" applyBorder="1"/>
    <xf numFmtId="2" fontId="1" fillId="0" borderId="9" xfId="0" applyNumberFormat="1" applyFont="1" applyBorder="1" applyAlignment="1">
      <alignment horizontal="center"/>
    </xf>
    <xf numFmtId="2" fontId="0" fillId="0" borderId="4" xfId="0" applyNumberFormat="1" applyBorder="1" applyAlignment="1">
      <alignment horizontal="center"/>
    </xf>
    <xf numFmtId="49" fontId="3" fillId="0" borderId="9" xfId="0" applyNumberFormat="1" applyFont="1" applyBorder="1" applyAlignment="1">
      <alignment horizontal="center"/>
    </xf>
    <xf numFmtId="49" fontId="3" fillId="0" borderId="4" xfId="0" applyNumberFormat="1" applyFont="1" applyBorder="1" applyAlignment="1">
      <alignment horizontal="center"/>
    </xf>
    <xf numFmtId="2" fontId="1" fillId="0" borderId="36"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32" xfId="0" applyNumberFormat="1" applyFont="1" applyBorder="1" applyAlignment="1">
      <alignment horizontal="center" vertical="center"/>
    </xf>
    <xf numFmtId="2" fontId="1" fillId="0" borderId="0" xfId="0" applyNumberFormat="1" applyFont="1" applyBorder="1" applyAlignment="1">
      <alignment horizontal="center" vertical="center"/>
    </xf>
    <xf numFmtId="2" fontId="1" fillId="0" borderId="37" xfId="0" applyNumberFormat="1" applyFont="1" applyBorder="1" applyAlignment="1">
      <alignment horizontal="center" vertical="center"/>
    </xf>
    <xf numFmtId="2" fontId="1" fillId="0" borderId="11" xfId="0" applyNumberFormat="1" applyFont="1" applyBorder="1" applyAlignment="1">
      <alignment horizontal="center" vertical="center"/>
    </xf>
    <xf numFmtId="1" fontId="1" fillId="0" borderId="36"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2" xfId="0" applyNumberFormat="1" applyFont="1" applyBorder="1" applyAlignment="1">
      <alignment horizontal="center" vertical="center"/>
    </xf>
    <xf numFmtId="1" fontId="1" fillId="0" borderId="0" xfId="0" applyNumberFormat="1" applyFont="1" applyBorder="1" applyAlignment="1">
      <alignment horizontal="center" vertical="center"/>
    </xf>
    <xf numFmtId="2" fontId="1" fillId="0" borderId="28" xfId="0" applyNumberFormat="1" applyFont="1" applyBorder="1" applyAlignment="1">
      <alignment horizontal="center" vertical="center"/>
    </xf>
    <xf numFmtId="2" fontId="1" fillId="0" borderId="29" xfId="0" applyNumberFormat="1" applyFont="1" applyBorder="1" applyAlignment="1">
      <alignment horizontal="center" vertical="center"/>
    </xf>
    <xf numFmtId="0" fontId="13" fillId="0" borderId="5" xfId="0" applyFont="1" applyBorder="1" applyAlignment="1">
      <alignment horizontal="center"/>
    </xf>
    <xf numFmtId="0" fontId="13" fillId="0" borderId="3" xfId="0" applyFont="1" applyBorder="1" applyAlignment="1">
      <alignment horizontal="center"/>
    </xf>
    <xf numFmtId="0" fontId="13" fillId="0" borderId="24" xfId="0" applyFont="1" applyBorder="1" applyAlignment="1">
      <alignment horizontal="center"/>
    </xf>
    <xf numFmtId="0" fontId="5" fillId="0" borderId="6" xfId="0" applyFont="1" applyBorder="1" applyAlignment="1">
      <alignment horizontal="center"/>
    </xf>
    <xf numFmtId="0" fontId="5" fillId="0" borderId="0" xfId="0" applyFont="1" applyBorder="1" applyAlignment="1">
      <alignment horizontal="center"/>
    </xf>
    <xf numFmtId="0" fontId="5" fillId="0" borderId="14"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30" xfId="0" applyFont="1" applyBorder="1" applyAlignment="1">
      <alignment horizontal="center"/>
    </xf>
    <xf numFmtId="0" fontId="1" fillId="0" borderId="1" xfId="0" applyFont="1" applyBorder="1" applyAlignment="1">
      <alignment horizontal="center"/>
    </xf>
    <xf numFmtId="0" fontId="1" fillId="0" borderId="31" xfId="0" applyFont="1" applyBorder="1" applyAlignment="1">
      <alignment horizontal="center"/>
    </xf>
    <xf numFmtId="165" fontId="1" fillId="0" borderId="32" xfId="0" applyNumberFormat="1" applyFont="1" applyBorder="1" applyAlignment="1">
      <alignment horizontal="center" vertical="center"/>
    </xf>
    <xf numFmtId="165" fontId="1" fillId="0" borderId="0" xfId="0" applyNumberFormat="1" applyFont="1" applyBorder="1" applyAlignment="1">
      <alignment horizontal="center" vertical="center"/>
    </xf>
    <xf numFmtId="49" fontId="1" fillId="0" borderId="33" xfId="0" applyNumberFormat="1" applyFont="1" applyBorder="1" applyAlignment="1">
      <alignment horizontal="center" vertical="center"/>
    </xf>
    <xf numFmtId="49" fontId="1" fillId="0" borderId="34" xfId="0" applyNumberFormat="1" applyFont="1" applyBorder="1" applyAlignment="1">
      <alignment horizontal="center" vertical="center"/>
    </xf>
    <xf numFmtId="49" fontId="1" fillId="0" borderId="35" xfId="0" applyNumberFormat="1" applyFont="1" applyBorder="1" applyAlignment="1">
      <alignment horizontal="center" vertical="center"/>
    </xf>
    <xf numFmtId="165" fontId="1" fillId="0" borderId="3" xfId="0" applyNumberFormat="1" applyFont="1" applyBorder="1" applyAlignment="1">
      <alignment horizontal="center" vertical="center"/>
    </xf>
    <xf numFmtId="165" fontId="1" fillId="0" borderId="4" xfId="0" applyNumberFormat="1"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xf>
    <xf numFmtId="0" fontId="1" fillId="0" borderId="3" xfId="0" applyFont="1" applyBorder="1" applyAlignment="1">
      <alignment horizontal="center"/>
    </xf>
    <xf numFmtId="0" fontId="1" fillId="0" borderId="24" xfId="0" applyFont="1" applyBorder="1" applyAlignment="1">
      <alignment horizontal="center"/>
    </xf>
    <xf numFmtId="165" fontId="1" fillId="0" borderId="24" xfId="0" applyNumberFormat="1" applyFont="1" applyBorder="1" applyAlignment="1">
      <alignment horizontal="center" vertical="center"/>
    </xf>
    <xf numFmtId="165" fontId="1" fillId="0" borderId="25" xfId="0" applyNumberFormat="1" applyFont="1" applyBorder="1" applyAlignment="1">
      <alignment horizontal="center" vertical="center"/>
    </xf>
    <xf numFmtId="0" fontId="12" fillId="0" borderId="0" xfId="0" applyFont="1" applyBorder="1" applyAlignment="1">
      <alignment horizontal="center"/>
    </xf>
    <xf numFmtId="0" fontId="12" fillId="0" borderId="14" xfId="0" applyFont="1" applyBorder="1" applyAlignment="1">
      <alignment horizontal="center"/>
    </xf>
    <xf numFmtId="0" fontId="12" fillId="0" borderId="5" xfId="0" applyFont="1" applyBorder="1" applyAlignment="1">
      <alignment horizontal="center"/>
    </xf>
    <xf numFmtId="0" fontId="12" fillId="0" borderId="3" xfId="0" applyFont="1" applyBorder="1" applyAlignment="1">
      <alignment horizontal="center"/>
    </xf>
    <xf numFmtId="0" fontId="12" fillId="0" borderId="24" xfId="0" applyFont="1" applyBorder="1" applyAlignment="1">
      <alignment horizontal="center"/>
    </xf>
    <xf numFmtId="2" fontId="1" fillId="0" borderId="8" xfId="0" applyNumberFormat="1" applyFont="1" applyBorder="1" applyAlignment="1">
      <alignment horizontal="center"/>
    </xf>
    <xf numFmtId="2" fontId="1" fillId="0" borderId="10" xfId="0" applyNumberFormat="1" applyFont="1" applyBorder="1" applyAlignment="1">
      <alignment horizontal="center"/>
    </xf>
    <xf numFmtId="164" fontId="1" fillId="0" borderId="3" xfId="0" applyNumberFormat="1" applyFont="1" applyBorder="1" applyAlignment="1">
      <alignment horizontal="center"/>
    </xf>
    <xf numFmtId="2" fontId="1" fillId="0" borderId="3" xfId="0" applyNumberFormat="1" applyFont="1" applyBorder="1" applyAlignment="1">
      <alignment horizontal="center"/>
    </xf>
    <xf numFmtId="1" fontId="1" fillId="0" borderId="3" xfId="0" applyNumberFormat="1" applyFont="1" applyBorder="1" applyAlignment="1">
      <alignment horizontal="center"/>
    </xf>
    <xf numFmtId="1" fontId="1" fillId="0" borderId="8" xfId="0" applyNumberFormat="1" applyFont="1" applyBorder="1" applyAlignment="1">
      <alignment horizontal="center"/>
    </xf>
    <xf numFmtId="1" fontId="1" fillId="0" borderId="10" xfId="0" applyNumberFormat="1" applyFont="1" applyBorder="1" applyAlignment="1">
      <alignment horizontal="center"/>
    </xf>
    <xf numFmtId="165" fontId="1" fillId="0" borderId="8" xfId="0" applyNumberFormat="1" applyFont="1" applyBorder="1" applyAlignment="1">
      <alignment horizontal="center"/>
    </xf>
    <xf numFmtId="0" fontId="0" fillId="0" borderId="10" xfId="0" applyBorder="1" applyAlignment="1"/>
    <xf numFmtId="0" fontId="0" fillId="0" borderId="0" xfId="0" applyAlignment="1">
      <alignment horizontal="left"/>
    </xf>
    <xf numFmtId="0" fontId="1" fillId="0" borderId="0" xfId="0" applyFont="1" applyAlignment="1">
      <alignment horizontal="left"/>
    </xf>
    <xf numFmtId="49" fontId="0" fillId="0" borderId="0" xfId="0" applyNumberFormat="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12</xdr:col>
          <xdr:colOff>342900</xdr:colOff>
          <xdr:row>1</xdr:row>
          <xdr:rowOff>95250</xdr:rowOff>
        </xdr:from>
        <xdr:to>
          <xdr:col>15</xdr:col>
          <xdr:colOff>266700</xdr:colOff>
          <xdr:row>3</xdr:row>
          <xdr:rowOff>114300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75C1B941-F510-4852-8EB1-189EBD0B89DC}"/>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Calculate DRIS Indices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342900</xdr:colOff>
          <xdr:row>5</xdr:row>
          <xdr:rowOff>95250</xdr:rowOff>
        </xdr:from>
        <xdr:to>
          <xdr:col>15</xdr:col>
          <xdr:colOff>266700</xdr:colOff>
          <xdr:row>7</xdr:row>
          <xdr:rowOff>123825</xdr:rowOff>
        </xdr:to>
        <xdr:sp macro="" textlink="">
          <xdr:nvSpPr>
            <xdr:cNvPr id="1026" name="Button 2" hidden="1">
              <a:extLst>
                <a:ext uri="{63B3BB69-23CF-44E3-9099-C40C66FF867C}">
                  <a14:compatExt spid="_x0000_s1026"/>
                </a:ext>
                <a:ext uri="{FF2B5EF4-FFF2-40B4-BE49-F238E27FC236}">
                  <a16:creationId xmlns:a16="http://schemas.microsoft.com/office/drawing/2014/main" id="{E08BC319-7157-4225-9CBE-A4FDF014D932}"/>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 to DRIS Output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342900</xdr:colOff>
          <xdr:row>9</xdr:row>
          <xdr:rowOff>57150</xdr:rowOff>
        </xdr:from>
        <xdr:to>
          <xdr:col>15</xdr:col>
          <xdr:colOff>266700</xdr:colOff>
          <xdr:row>11</xdr:row>
          <xdr:rowOff>95250</xdr:rowOff>
        </xdr:to>
        <xdr:sp macro="" textlink="">
          <xdr:nvSpPr>
            <xdr:cNvPr id="1027" name="Button 3" hidden="1">
              <a:extLst>
                <a:ext uri="{63B3BB69-23CF-44E3-9099-C40C66FF867C}">
                  <a14:compatExt spid="_x0000_s1027"/>
                </a:ext>
                <a:ext uri="{FF2B5EF4-FFF2-40B4-BE49-F238E27FC236}">
                  <a16:creationId xmlns:a16="http://schemas.microsoft.com/office/drawing/2014/main" id="{4A1F9A40-B7AB-4DFF-A8E9-281BBCFF3150}"/>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Go to Concentrations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342900</xdr:colOff>
          <xdr:row>13</xdr:row>
          <xdr:rowOff>66675</xdr:rowOff>
        </xdr:from>
        <xdr:to>
          <xdr:col>15</xdr:col>
          <xdr:colOff>266700</xdr:colOff>
          <xdr:row>15</xdr:row>
          <xdr:rowOff>95250</xdr:rowOff>
        </xdr:to>
        <xdr:sp macro="" textlink="">
          <xdr:nvSpPr>
            <xdr:cNvPr id="1028" name="Button 4" hidden="1">
              <a:extLst>
                <a:ext uri="{63B3BB69-23CF-44E3-9099-C40C66FF867C}">
                  <a14:compatExt spid="_x0000_s1028"/>
                </a:ext>
                <a:ext uri="{FF2B5EF4-FFF2-40B4-BE49-F238E27FC236}">
                  <a16:creationId xmlns:a16="http://schemas.microsoft.com/office/drawing/2014/main" id="{A90EE6B9-7542-49B2-B51E-8B230BAA36EE}"/>
                </a:ext>
              </a:extLst>
            </xdr:cNvPr>
            <xdr:cNvSpPr/>
          </xdr:nvSpPr>
          <xdr:spPr bwMode="auto">
            <a:xfrm>
              <a:off x="0" y="0"/>
              <a:ext cx="0" cy="0"/>
            </a:xfrm>
            <a:prstGeom prst="rect">
              <a:avLst/>
            </a:prstGeom>
            <a:noFill/>
            <a:ln>
              <a:noFill/>
            </a:ln>
            <a:effectLst/>
            <a:extLst>
              <a:ext uri="{91240B29-F687-4F45-9708-019B960494DF}">
                <a14:hiddenLine w="9525">
                  <a:noFill/>
                  <a:miter lim="800000"/>
                  <a:headEnd/>
                  <a:tailEnd/>
                </a14:hiddenLine>
              </a:ext>
              <a:ext uri="{AF507438-7753-43E0-B8FC-AC1667EBCBE1}">
                <a14:hiddenEffects>
                  <a:effectLst>
                    <a:outerShdw dist="35921" dir="2700000" algn="ctr" rotWithShape="0">
                      <a:srgbClr val="808080"/>
                    </a:outerShdw>
                  </a:effectLst>
                </a14:hiddenEffects>
              </a:ext>
            </a:extLst>
          </xdr:spPr>
          <xdr:txBody>
            <a:bodyPr vertOverflow="clip" wrap="square" lIns="36576" tIns="27432" rIns="36576" bIns="27432" anchor="ctr" upright="1"/>
            <a:lstStyle/>
            <a:p>
              <a:pPr algn="ctr" rtl="0">
                <a:defRPr sz="1000"/>
              </a:pPr>
              <a:r>
                <a:rPr lang="en-US" sz="1200" b="1" i="0" u="none" strike="noStrike" baseline="0">
                  <a:solidFill>
                    <a:srgbClr val="000000"/>
                  </a:solidFill>
                  <a:latin typeface="Arial"/>
                  <a:cs typeface="Arial"/>
                </a:rPr>
                <a:t>Close Saving Changes</a:t>
              </a:r>
            </a:p>
          </xdr:txBody>
        </xdr:sp>
        <xdr:clientData fLocksWithSheet="0"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12"/>
  <sheetViews>
    <sheetView workbookViewId="0">
      <selection activeCell="A18" sqref="A18"/>
    </sheetView>
  </sheetViews>
  <sheetFormatPr defaultRowHeight="14.25" x14ac:dyDescent="0.2"/>
  <cols>
    <col min="1" max="1" width="89.7109375" style="82" customWidth="1"/>
    <col min="2" max="16384" width="9.140625" style="82"/>
  </cols>
  <sheetData>
    <row r="1" spans="1:1" ht="15" x14ac:dyDescent="0.25">
      <c r="A1" s="83" t="s">
        <v>166</v>
      </c>
    </row>
    <row r="2" spans="1:1" ht="42.75" x14ac:dyDescent="0.2">
      <c r="A2" s="84" t="s">
        <v>180</v>
      </c>
    </row>
    <row r="3" spans="1:1" x14ac:dyDescent="0.2">
      <c r="A3" s="85"/>
    </row>
    <row r="4" spans="1:1" ht="42.75" x14ac:dyDescent="0.2">
      <c r="A4" s="84" t="s">
        <v>177</v>
      </c>
    </row>
    <row r="5" spans="1:1" x14ac:dyDescent="0.2">
      <c r="A5" s="84"/>
    </row>
    <row r="6" spans="1:1" ht="28.5" x14ac:dyDescent="0.2">
      <c r="A6" s="84" t="s">
        <v>178</v>
      </c>
    </row>
    <row r="7" spans="1:1" x14ac:dyDescent="0.2">
      <c r="A7" s="85"/>
    </row>
    <row r="8" spans="1:1" ht="71.25" x14ac:dyDescent="0.2">
      <c r="A8" s="84" t="s">
        <v>164</v>
      </c>
    </row>
    <row r="9" spans="1:1" x14ac:dyDescent="0.2">
      <c r="A9" s="85"/>
    </row>
    <row r="10" spans="1:1" ht="42.75" x14ac:dyDescent="0.2">
      <c r="A10" s="84" t="s">
        <v>165</v>
      </c>
    </row>
    <row r="11" spans="1:1" x14ac:dyDescent="0.2">
      <c r="A11" s="85"/>
    </row>
    <row r="12" spans="1:1" ht="42.75" x14ac:dyDescent="0.2">
      <c r="A12" s="84" t="s">
        <v>179</v>
      </c>
    </row>
  </sheetData>
  <phoneticPr fontId="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26"/>
  <sheetViews>
    <sheetView tabSelected="1" zoomScale="90" workbookViewId="0">
      <pane ySplit="8" topLeftCell="A9" activePane="bottomLeft" state="frozen"/>
      <selection activeCell="M20" sqref="M20"/>
      <selection pane="bottomLeft" activeCell="A28" sqref="A28"/>
    </sheetView>
  </sheetViews>
  <sheetFormatPr defaultRowHeight="12.75" x14ac:dyDescent="0.2"/>
  <cols>
    <col min="1" max="1" width="24.7109375" style="10" customWidth="1"/>
    <col min="2" max="2" width="9.140625" style="21"/>
    <col min="3" max="6" width="9.140625" style="20"/>
    <col min="7" max="7" width="9.140625" style="15"/>
    <col min="10" max="10" width="9.140625" style="34"/>
    <col min="11" max="11" width="9.140625" style="98"/>
    <col min="14" max="14" width="10.140625" customWidth="1"/>
  </cols>
  <sheetData>
    <row r="1" spans="1:16" ht="17.25" thickTop="1" thickBot="1" x14ac:dyDescent="0.3">
      <c r="A1" s="116" t="s">
        <v>156</v>
      </c>
      <c r="B1" s="117"/>
      <c r="C1" s="117"/>
      <c r="D1" s="117"/>
      <c r="E1" s="117"/>
      <c r="F1" s="117"/>
      <c r="G1" s="117"/>
      <c r="H1" s="117"/>
      <c r="I1" s="117"/>
      <c r="J1" s="117"/>
      <c r="K1" s="118"/>
    </row>
    <row r="2" spans="1:16" ht="13.5" thickTop="1" x14ac:dyDescent="0.2">
      <c r="A2" s="119" t="s">
        <v>161</v>
      </c>
      <c r="B2" s="120"/>
      <c r="C2" s="120"/>
      <c r="D2" s="120"/>
      <c r="E2" s="120"/>
      <c r="F2" s="120"/>
      <c r="G2" s="120"/>
      <c r="H2" s="120"/>
      <c r="I2" s="120"/>
      <c r="J2" s="120"/>
      <c r="K2" s="121"/>
      <c r="L2" s="81"/>
      <c r="M2" s="78"/>
      <c r="N2" s="72"/>
      <c r="O2" s="72"/>
      <c r="P2" s="73"/>
    </row>
    <row r="3" spans="1:16" x14ac:dyDescent="0.2">
      <c r="A3" s="122" t="s">
        <v>160</v>
      </c>
      <c r="B3" s="123"/>
      <c r="C3" s="123"/>
      <c r="D3" s="123"/>
      <c r="E3" s="123"/>
      <c r="F3" s="123"/>
      <c r="G3" s="123"/>
      <c r="H3" s="123"/>
      <c r="I3" s="123"/>
      <c r="J3" s="123"/>
      <c r="K3" s="124"/>
      <c r="L3" s="81"/>
      <c r="M3" s="79"/>
      <c r="N3" s="74"/>
      <c r="O3" s="74"/>
      <c r="P3" s="75"/>
    </row>
    <row r="4" spans="1:16" x14ac:dyDescent="0.2">
      <c r="A4" s="122" t="s">
        <v>159</v>
      </c>
      <c r="B4" s="123"/>
      <c r="C4" s="123"/>
      <c r="D4" s="123"/>
      <c r="E4" s="123"/>
      <c r="F4" s="123"/>
      <c r="G4" s="123"/>
      <c r="H4" s="123"/>
      <c r="I4" s="123"/>
      <c r="J4" s="123"/>
      <c r="K4" s="124"/>
      <c r="L4" s="81"/>
      <c r="M4" s="79"/>
      <c r="N4" s="74"/>
      <c r="O4" s="74"/>
      <c r="P4" s="75"/>
    </row>
    <row r="5" spans="1:16" x14ac:dyDescent="0.2">
      <c r="A5" s="125" t="s">
        <v>176</v>
      </c>
      <c r="B5" s="126"/>
      <c r="C5" s="126"/>
      <c r="D5" s="126"/>
      <c r="E5" s="126"/>
      <c r="F5" s="126"/>
      <c r="G5" s="126"/>
      <c r="H5" s="126"/>
      <c r="I5" s="126"/>
      <c r="J5" s="126"/>
      <c r="K5" s="127"/>
      <c r="L5" s="81"/>
      <c r="M5" s="79"/>
      <c r="N5" s="74"/>
      <c r="O5" s="74"/>
      <c r="P5" s="75"/>
    </row>
    <row r="6" spans="1:16" x14ac:dyDescent="0.2">
      <c r="A6" s="130" t="s">
        <v>157</v>
      </c>
      <c r="B6" s="104" t="s">
        <v>0</v>
      </c>
      <c r="C6" s="106" t="s">
        <v>1</v>
      </c>
      <c r="D6" s="106" t="s">
        <v>2</v>
      </c>
      <c r="E6" s="106" t="s">
        <v>3</v>
      </c>
      <c r="F6" s="108" t="s">
        <v>4</v>
      </c>
      <c r="G6" s="110" t="s">
        <v>5</v>
      </c>
      <c r="H6" s="112" t="s">
        <v>6</v>
      </c>
      <c r="I6" s="112" t="s">
        <v>7</v>
      </c>
      <c r="J6" s="128" t="s">
        <v>8</v>
      </c>
      <c r="K6" s="114" t="s">
        <v>163</v>
      </c>
      <c r="L6" s="81"/>
      <c r="M6" s="79"/>
      <c r="N6" s="74"/>
      <c r="O6" s="74"/>
      <c r="P6" s="75"/>
    </row>
    <row r="7" spans="1:16" x14ac:dyDescent="0.2">
      <c r="A7" s="131"/>
      <c r="B7" s="105"/>
      <c r="C7" s="107"/>
      <c r="D7" s="107"/>
      <c r="E7" s="107"/>
      <c r="F7" s="109"/>
      <c r="G7" s="111"/>
      <c r="H7" s="113"/>
      <c r="I7" s="113"/>
      <c r="J7" s="129"/>
      <c r="K7" s="115"/>
      <c r="L7" s="81"/>
      <c r="M7" s="79"/>
      <c r="N7" s="74"/>
      <c r="O7" s="74"/>
      <c r="P7" s="75"/>
    </row>
    <row r="8" spans="1:16" ht="13.5" thickBot="1" x14ac:dyDescent="0.25">
      <c r="A8" s="132"/>
      <c r="B8" s="100" t="s">
        <v>158</v>
      </c>
      <c r="C8" s="101"/>
      <c r="D8" s="101"/>
      <c r="E8" s="101"/>
      <c r="F8" s="101"/>
      <c r="G8" s="102" t="s">
        <v>91</v>
      </c>
      <c r="H8" s="103"/>
      <c r="I8" s="103"/>
      <c r="J8" s="103"/>
      <c r="K8" s="95" t="s">
        <v>145</v>
      </c>
      <c r="L8" s="81"/>
      <c r="M8" s="79"/>
      <c r="N8" s="74"/>
      <c r="O8" s="74"/>
      <c r="P8" s="75"/>
    </row>
    <row r="9" spans="1:16" ht="13.5" thickTop="1" x14ac:dyDescent="0.2">
      <c r="A9" s="18" t="s">
        <v>181</v>
      </c>
      <c r="B9" s="50">
        <v>2.58</v>
      </c>
      <c r="C9" s="48">
        <v>0.217</v>
      </c>
      <c r="D9" s="48">
        <v>1.33</v>
      </c>
      <c r="E9" s="48">
        <v>0.3</v>
      </c>
      <c r="F9" s="48">
        <v>0.13</v>
      </c>
      <c r="G9" s="51">
        <v>44</v>
      </c>
      <c r="H9" s="52">
        <v>6</v>
      </c>
      <c r="I9" s="62">
        <v>18</v>
      </c>
      <c r="J9" s="56">
        <v>4.5999999999999996</v>
      </c>
      <c r="K9" s="99">
        <v>0.6</v>
      </c>
      <c r="L9" s="81"/>
      <c r="M9" s="79"/>
      <c r="N9" s="74"/>
      <c r="O9" s="74"/>
      <c r="P9" s="75"/>
    </row>
    <row r="10" spans="1:16" x14ac:dyDescent="0.2">
      <c r="A10" s="18" t="s">
        <v>182</v>
      </c>
      <c r="B10" s="50">
        <v>2.44</v>
      </c>
      <c r="C10" s="48">
        <v>0.24099999999999999</v>
      </c>
      <c r="D10" s="48">
        <v>1.54</v>
      </c>
      <c r="E10" s="48">
        <v>0.42</v>
      </c>
      <c r="F10" s="48">
        <v>0.17</v>
      </c>
      <c r="G10" s="63">
        <v>57</v>
      </c>
      <c r="H10" s="52">
        <v>10</v>
      </c>
      <c r="I10" s="62">
        <v>20</v>
      </c>
      <c r="J10" s="56">
        <v>5.9</v>
      </c>
      <c r="K10" s="97">
        <v>0.4</v>
      </c>
      <c r="L10" s="81"/>
      <c r="M10" s="79"/>
      <c r="N10" s="74"/>
      <c r="O10" s="74"/>
      <c r="P10" s="75"/>
    </row>
    <row r="11" spans="1:16" x14ac:dyDescent="0.2">
      <c r="A11" s="18" t="s">
        <v>183</v>
      </c>
      <c r="B11" s="47">
        <v>2.76</v>
      </c>
      <c r="C11" s="48">
        <v>0.28899999999999998</v>
      </c>
      <c r="D11" s="49">
        <v>1.78</v>
      </c>
      <c r="E11" s="48">
        <v>0.37</v>
      </c>
      <c r="F11" s="48">
        <v>0.21</v>
      </c>
      <c r="G11" s="63">
        <v>60</v>
      </c>
      <c r="H11" s="62">
        <v>16</v>
      </c>
      <c r="I11" s="62">
        <v>21</v>
      </c>
      <c r="J11" s="56">
        <v>7.3</v>
      </c>
      <c r="K11" s="96">
        <v>0.8</v>
      </c>
      <c r="L11" s="81"/>
      <c r="M11" s="79"/>
      <c r="N11" s="74"/>
      <c r="O11" s="74"/>
      <c r="P11" s="75"/>
    </row>
    <row r="12" spans="1:16" x14ac:dyDescent="0.2">
      <c r="A12" s="18" t="s">
        <v>184</v>
      </c>
      <c r="B12" s="47">
        <v>2.61</v>
      </c>
      <c r="C12" s="48">
        <v>0.224</v>
      </c>
      <c r="D12" s="20">
        <v>1.6</v>
      </c>
      <c r="E12" s="48">
        <v>0.36</v>
      </c>
      <c r="F12" s="48">
        <v>0.18</v>
      </c>
      <c r="G12" s="63">
        <v>64</v>
      </c>
      <c r="H12" s="52">
        <v>10</v>
      </c>
      <c r="I12" s="62">
        <v>21</v>
      </c>
      <c r="J12" s="56">
        <v>7.6</v>
      </c>
      <c r="K12" s="97">
        <v>0.2</v>
      </c>
      <c r="L12" s="81"/>
      <c r="M12" s="79"/>
      <c r="N12" s="74"/>
      <c r="O12" s="74"/>
      <c r="P12" s="75"/>
    </row>
    <row r="13" spans="1:16" x14ac:dyDescent="0.2">
      <c r="A13" s="18" t="s">
        <v>185</v>
      </c>
      <c r="B13" s="47">
        <v>2.93</v>
      </c>
      <c r="C13" s="48">
        <v>0.28299999999999997</v>
      </c>
      <c r="D13" s="49">
        <v>1.7</v>
      </c>
      <c r="E13" s="48">
        <v>0.44</v>
      </c>
      <c r="F13" s="48">
        <v>0.14000000000000001</v>
      </c>
      <c r="G13" s="63">
        <v>67</v>
      </c>
      <c r="H13" s="62">
        <v>23</v>
      </c>
      <c r="I13" s="62">
        <v>21</v>
      </c>
      <c r="J13" s="56">
        <v>6.2</v>
      </c>
      <c r="K13" s="96">
        <v>0.6</v>
      </c>
      <c r="L13" s="81"/>
      <c r="M13" s="79"/>
      <c r="N13" s="74"/>
      <c r="O13" s="74"/>
      <c r="P13" s="75"/>
    </row>
    <row r="14" spans="1:16" x14ac:dyDescent="0.2">
      <c r="A14" s="18" t="s">
        <v>186</v>
      </c>
      <c r="B14" s="47">
        <v>2.8</v>
      </c>
      <c r="C14" s="49">
        <v>0.32500000000000001</v>
      </c>
      <c r="D14" s="49">
        <v>1.75</v>
      </c>
      <c r="E14" s="49">
        <v>0.51</v>
      </c>
      <c r="F14" s="48">
        <v>0.17</v>
      </c>
      <c r="G14" s="63">
        <v>63</v>
      </c>
      <c r="H14" s="62">
        <v>78</v>
      </c>
      <c r="I14" s="62">
        <v>21</v>
      </c>
      <c r="J14" s="56">
        <v>5.5</v>
      </c>
      <c r="K14" s="98">
        <v>0.5</v>
      </c>
      <c r="L14" s="81"/>
      <c r="M14" s="79"/>
      <c r="N14" s="74"/>
      <c r="O14" s="74"/>
      <c r="P14" s="75"/>
    </row>
    <row r="15" spans="1:16" x14ac:dyDescent="0.2">
      <c r="A15" s="18" t="s">
        <v>187</v>
      </c>
      <c r="B15" s="47">
        <v>2.62</v>
      </c>
      <c r="C15" s="48">
        <v>0.27100000000000002</v>
      </c>
      <c r="D15" s="48">
        <v>1.55</v>
      </c>
      <c r="E15" s="49">
        <v>0.46</v>
      </c>
      <c r="F15" s="48">
        <v>0.19</v>
      </c>
      <c r="G15" s="63">
        <v>58</v>
      </c>
      <c r="H15" s="62">
        <v>27</v>
      </c>
      <c r="I15" s="62">
        <v>19</v>
      </c>
      <c r="J15" s="56">
        <v>3.5</v>
      </c>
      <c r="K15" s="97">
        <v>0.2</v>
      </c>
      <c r="L15" s="81"/>
      <c r="M15" s="79"/>
      <c r="N15" s="74"/>
      <c r="O15" s="74"/>
      <c r="P15" s="75"/>
    </row>
    <row r="16" spans="1:16" x14ac:dyDescent="0.2">
      <c r="A16" s="18" t="s">
        <v>188</v>
      </c>
      <c r="B16" s="50">
        <v>2.4700000000000002</v>
      </c>
      <c r="C16" s="48">
        <v>0.22800000000000001</v>
      </c>
      <c r="D16" s="48">
        <v>1.52</v>
      </c>
      <c r="E16" s="49">
        <v>0.56000000000000005</v>
      </c>
      <c r="F16" s="48">
        <v>0.26</v>
      </c>
      <c r="G16" s="63">
        <v>91</v>
      </c>
      <c r="H16" s="52">
        <v>10</v>
      </c>
      <c r="I16" s="62">
        <v>29</v>
      </c>
      <c r="J16" s="55">
        <v>9.1999999999999993</v>
      </c>
      <c r="K16" s="98">
        <v>0.5</v>
      </c>
      <c r="L16" s="81"/>
      <c r="M16" s="79"/>
      <c r="N16" s="74"/>
      <c r="O16" s="74"/>
      <c r="P16" s="75"/>
    </row>
    <row r="17" spans="1:16" ht="13.5" thickBot="1" x14ac:dyDescent="0.25">
      <c r="A17" s="18" t="s">
        <v>189</v>
      </c>
      <c r="B17" s="50">
        <v>2.58</v>
      </c>
      <c r="C17" s="48">
        <v>0.26100000000000001</v>
      </c>
      <c r="D17" s="48">
        <v>1.55</v>
      </c>
      <c r="E17" s="49">
        <v>0.46</v>
      </c>
      <c r="F17" s="48">
        <v>0.22</v>
      </c>
      <c r="G17" s="63">
        <v>67</v>
      </c>
      <c r="H17" s="52">
        <v>11</v>
      </c>
      <c r="I17" s="62">
        <v>21</v>
      </c>
      <c r="J17" s="56">
        <v>6.8</v>
      </c>
      <c r="K17" s="96">
        <v>0.57999999999999996</v>
      </c>
      <c r="L17" s="81"/>
      <c r="M17" s="80"/>
      <c r="N17" s="76"/>
      <c r="O17" s="76"/>
      <c r="P17" s="77"/>
    </row>
    <row r="18" spans="1:16" ht="13.5" thickTop="1" x14ac:dyDescent="0.2">
      <c r="A18" s="18" t="s">
        <v>190</v>
      </c>
      <c r="B18" s="50">
        <v>2.4700000000000002</v>
      </c>
      <c r="C18" s="48">
        <v>0.253</v>
      </c>
      <c r="D18" s="49">
        <v>1.98</v>
      </c>
      <c r="E18" s="49">
        <v>0.52</v>
      </c>
      <c r="F18" s="48">
        <v>0.17</v>
      </c>
      <c r="G18" s="63">
        <v>74</v>
      </c>
      <c r="H18" s="52">
        <v>8</v>
      </c>
      <c r="I18" s="62">
        <v>22</v>
      </c>
      <c r="J18" s="55">
        <v>8.6</v>
      </c>
      <c r="K18" s="96">
        <v>0.68</v>
      </c>
    </row>
    <row r="19" spans="1:16" x14ac:dyDescent="0.2">
      <c r="A19" s="18" t="s">
        <v>92</v>
      </c>
      <c r="B19" s="50">
        <v>2.2799999999999998</v>
      </c>
      <c r="C19" s="48">
        <v>0.28000000000000003</v>
      </c>
      <c r="D19" s="48">
        <v>1.56</v>
      </c>
      <c r="E19" s="48">
        <v>0.28000000000000003</v>
      </c>
      <c r="F19" s="48">
        <v>0.28000000000000003</v>
      </c>
      <c r="G19" s="63">
        <v>74</v>
      </c>
      <c r="H19" s="62">
        <v>17</v>
      </c>
      <c r="I19" s="62">
        <v>19</v>
      </c>
      <c r="J19" s="56">
        <v>5</v>
      </c>
      <c r="K19" s="96">
        <v>1.2</v>
      </c>
    </row>
    <row r="20" spans="1:16" x14ac:dyDescent="0.2">
      <c r="A20" s="18" t="s">
        <v>93</v>
      </c>
      <c r="B20" s="50">
        <v>2.4</v>
      </c>
      <c r="C20" s="48">
        <v>0.23</v>
      </c>
      <c r="D20" s="48">
        <v>1.51</v>
      </c>
      <c r="E20" s="48">
        <v>0.21</v>
      </c>
      <c r="F20" s="48">
        <v>0.15</v>
      </c>
      <c r="G20" s="63">
        <v>81</v>
      </c>
      <c r="H20" s="52">
        <v>11</v>
      </c>
      <c r="I20" s="62">
        <v>16</v>
      </c>
      <c r="J20" s="56">
        <v>6</v>
      </c>
      <c r="K20" s="96">
        <v>1.5</v>
      </c>
    </row>
    <row r="21" spans="1:16" x14ac:dyDescent="0.2">
      <c r="A21" s="18" t="s">
        <v>94</v>
      </c>
      <c r="B21" s="50">
        <v>1.84</v>
      </c>
      <c r="C21" s="48">
        <v>0.25</v>
      </c>
      <c r="D21" s="48">
        <v>1.38</v>
      </c>
      <c r="E21" s="48">
        <v>0.26</v>
      </c>
      <c r="F21" s="48">
        <v>0.26</v>
      </c>
      <c r="G21" s="63">
        <v>74</v>
      </c>
      <c r="H21" s="62">
        <v>13</v>
      </c>
      <c r="I21" s="52">
        <v>13</v>
      </c>
      <c r="J21" s="56">
        <v>7</v>
      </c>
      <c r="K21" s="96">
        <v>1.8</v>
      </c>
    </row>
    <row r="22" spans="1:16" x14ac:dyDescent="0.2">
      <c r="A22" s="18" t="s">
        <v>95</v>
      </c>
      <c r="B22" s="50">
        <v>2.12</v>
      </c>
      <c r="C22" s="48">
        <v>0.26</v>
      </c>
      <c r="D22" s="48">
        <v>1.35</v>
      </c>
      <c r="E22" s="48">
        <v>0.26</v>
      </c>
      <c r="F22" s="48">
        <v>0.3</v>
      </c>
      <c r="G22" s="63">
        <v>74</v>
      </c>
      <c r="H22" s="62">
        <v>17</v>
      </c>
      <c r="I22" s="62">
        <v>16</v>
      </c>
      <c r="J22" s="34">
        <v>3</v>
      </c>
      <c r="K22" s="96">
        <v>2</v>
      </c>
    </row>
    <row r="23" spans="1:16" x14ac:dyDescent="0.2">
      <c r="A23" s="18" t="s">
        <v>96</v>
      </c>
      <c r="B23" s="50">
        <v>2.08</v>
      </c>
      <c r="C23" s="48">
        <v>0.25</v>
      </c>
      <c r="D23" s="49">
        <v>1.65</v>
      </c>
      <c r="E23" s="48">
        <v>0.27</v>
      </c>
      <c r="F23" s="48">
        <v>0.28999999999999998</v>
      </c>
      <c r="G23" s="63">
        <v>70</v>
      </c>
      <c r="H23" s="62">
        <v>44</v>
      </c>
      <c r="I23" s="62">
        <v>16</v>
      </c>
      <c r="J23" s="56">
        <v>7</v>
      </c>
      <c r="K23" s="97">
        <v>0.44</v>
      </c>
    </row>
    <row r="24" spans="1:16" x14ac:dyDescent="0.2">
      <c r="A24" s="18" t="s">
        <v>97</v>
      </c>
      <c r="B24" s="50">
        <v>1.9</v>
      </c>
      <c r="C24" s="49">
        <v>0.31</v>
      </c>
      <c r="D24" s="49">
        <v>1.63</v>
      </c>
      <c r="E24" s="48">
        <v>0.22</v>
      </c>
      <c r="F24" s="48">
        <v>0.18</v>
      </c>
      <c r="G24" s="63">
        <v>70</v>
      </c>
      <c r="H24" s="62">
        <v>24</v>
      </c>
      <c r="I24" s="62">
        <v>18</v>
      </c>
      <c r="J24" s="56">
        <v>6</v>
      </c>
      <c r="K24" s="96">
        <v>0.51</v>
      </c>
    </row>
    <row r="25" spans="1:16" x14ac:dyDescent="0.2">
      <c r="A25" s="18" t="s">
        <v>98</v>
      </c>
      <c r="B25" s="50">
        <v>1.9</v>
      </c>
      <c r="C25" s="48">
        <v>0.22</v>
      </c>
      <c r="D25" s="48">
        <v>1.2</v>
      </c>
      <c r="E25" s="48">
        <v>0.24</v>
      </c>
      <c r="F25" s="48">
        <v>0.28000000000000003</v>
      </c>
      <c r="G25" s="63">
        <v>67</v>
      </c>
      <c r="H25" s="62">
        <v>46</v>
      </c>
      <c r="I25" s="62">
        <v>17</v>
      </c>
      <c r="J25" s="56">
        <v>7</v>
      </c>
      <c r="K25" s="97">
        <v>0.49</v>
      </c>
    </row>
    <row r="26" spans="1:16" x14ac:dyDescent="0.2">
      <c r="A26" s="18" t="s">
        <v>99</v>
      </c>
      <c r="B26" s="50">
        <v>1.82</v>
      </c>
      <c r="C26" s="20">
        <v>0.3</v>
      </c>
      <c r="D26" s="48">
        <v>1.19</v>
      </c>
      <c r="E26" s="20">
        <v>0.2</v>
      </c>
      <c r="F26" s="48">
        <v>0.26</v>
      </c>
      <c r="G26" s="63">
        <v>69</v>
      </c>
      <c r="H26" s="62">
        <v>25</v>
      </c>
      <c r="I26" s="52">
        <v>14</v>
      </c>
      <c r="J26" s="56">
        <v>6</v>
      </c>
      <c r="K26" s="96">
        <v>0.75</v>
      </c>
    </row>
  </sheetData>
  <mergeCells count="18">
    <mergeCell ref="K6:K7"/>
    <mergeCell ref="A1:K1"/>
    <mergeCell ref="A2:K2"/>
    <mergeCell ref="A3:K3"/>
    <mergeCell ref="A4:K4"/>
    <mergeCell ref="A5:K5"/>
    <mergeCell ref="I6:I7"/>
    <mergeCell ref="J6:J7"/>
    <mergeCell ref="A6:A8"/>
    <mergeCell ref="E6:E7"/>
    <mergeCell ref="B8:F8"/>
    <mergeCell ref="G8:J8"/>
    <mergeCell ref="B6:B7"/>
    <mergeCell ref="C6:C7"/>
    <mergeCell ref="D6:D7"/>
    <mergeCell ref="F6:F7"/>
    <mergeCell ref="G6:G7"/>
    <mergeCell ref="H6:H7"/>
  </mergeCells>
  <phoneticPr fontId="2" type="noConversion"/>
  <pageMargins left="0.75" right="0.75" top="1" bottom="1" header="0.5" footer="0.5"/>
  <pageSetup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Line="0" autoPict="0" macro="[0]!CopyCalculate">
                <anchor>
                  <from>
                    <xdr:col>12</xdr:col>
                    <xdr:colOff>342900</xdr:colOff>
                    <xdr:row>1</xdr:row>
                    <xdr:rowOff>95250</xdr:rowOff>
                  </from>
                  <to>
                    <xdr:col>15</xdr:col>
                    <xdr:colOff>266700</xdr:colOff>
                    <xdr:row>3</xdr:row>
                    <xdr:rowOff>114300</xdr:rowOff>
                  </to>
                </anchor>
              </controlPr>
            </control>
          </mc:Choice>
        </mc:AlternateContent>
        <mc:AlternateContent xmlns:mc="http://schemas.openxmlformats.org/markup-compatibility/2006">
          <mc:Choice Requires="x14">
            <control shapeId="1026" r:id="rId5" name="Button 2">
              <controlPr locked="0" defaultSize="0" print="0" autoFill="0" autoLine="0" autoPict="0" macro="[0]!GoToOutput">
                <anchor>
                  <from>
                    <xdr:col>12</xdr:col>
                    <xdr:colOff>342900</xdr:colOff>
                    <xdr:row>5</xdr:row>
                    <xdr:rowOff>95250</xdr:rowOff>
                  </from>
                  <to>
                    <xdr:col>15</xdr:col>
                    <xdr:colOff>266700</xdr:colOff>
                    <xdr:row>7</xdr:row>
                    <xdr:rowOff>123825</xdr:rowOff>
                  </to>
                </anchor>
              </controlPr>
            </control>
          </mc:Choice>
        </mc:AlternateContent>
        <mc:AlternateContent xmlns:mc="http://schemas.openxmlformats.org/markup-compatibility/2006">
          <mc:Choice Requires="x14">
            <control shapeId="1027" r:id="rId6" name="Button 3">
              <controlPr locked="0" defaultSize="0" print="0" autoFill="0" autoLine="0" autoPict="0" macro="[0]!GoToConcPlusDRIS">
                <anchor>
                  <from>
                    <xdr:col>12</xdr:col>
                    <xdr:colOff>342900</xdr:colOff>
                    <xdr:row>9</xdr:row>
                    <xdr:rowOff>57150</xdr:rowOff>
                  </from>
                  <to>
                    <xdr:col>15</xdr:col>
                    <xdr:colOff>266700</xdr:colOff>
                    <xdr:row>11</xdr:row>
                    <xdr:rowOff>95250</xdr:rowOff>
                  </to>
                </anchor>
              </controlPr>
            </control>
          </mc:Choice>
        </mc:AlternateContent>
        <mc:AlternateContent xmlns:mc="http://schemas.openxmlformats.org/markup-compatibility/2006">
          <mc:Choice Requires="x14">
            <control shapeId="1028" r:id="rId7" name="Button 4">
              <controlPr locked="0" defaultSize="0" print="0" autoFill="0" autoLine="0" autoPict="0" macro="[0]!CloseSaveChanges">
                <anchor>
                  <from>
                    <xdr:col>12</xdr:col>
                    <xdr:colOff>342900</xdr:colOff>
                    <xdr:row>13</xdr:row>
                    <xdr:rowOff>66675</xdr:rowOff>
                  </from>
                  <to>
                    <xdr:col>15</xdr:col>
                    <xdr:colOff>266700</xdr:colOff>
                    <xdr:row>15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D26"/>
  <sheetViews>
    <sheetView zoomScale="75" workbookViewId="0">
      <selection activeCell="I31" sqref="I31"/>
    </sheetView>
  </sheetViews>
  <sheetFormatPr defaultRowHeight="12.75" x14ac:dyDescent="0.2"/>
  <cols>
    <col min="1" max="1" width="9.140625" style="6"/>
    <col min="2" max="3" width="11" style="6" customWidth="1"/>
    <col min="4" max="50" width="9.140625" style="6"/>
    <col min="51" max="51" width="9.140625" style="1"/>
    <col min="52" max="72" width="9.140625" style="6"/>
    <col min="73" max="81" width="9.140625" style="2"/>
    <col min="82" max="82" width="9.5703125" style="2" customWidth="1"/>
    <col min="83" max="16384" width="9.140625" style="1"/>
  </cols>
  <sheetData>
    <row r="1" spans="1:82" x14ac:dyDescent="0.2">
      <c r="A1" s="86" t="s">
        <v>167</v>
      </c>
    </row>
    <row r="3" spans="1:82" x14ac:dyDescent="0.2">
      <c r="A3" s="3"/>
    </row>
    <row r="4" spans="1:82" x14ac:dyDescent="0.2">
      <c r="A4" s="19"/>
    </row>
    <row r="7" spans="1:82" x14ac:dyDescent="0.2">
      <c r="A7" s="44" t="s">
        <v>9</v>
      </c>
      <c r="B7" s="44" t="s">
        <v>10</v>
      </c>
      <c r="C7" s="44" t="s">
        <v>11</v>
      </c>
      <c r="D7" s="44" t="s">
        <v>12</v>
      </c>
      <c r="E7" s="44" t="s">
        <v>13</v>
      </c>
      <c r="F7" s="44" t="s">
        <v>14</v>
      </c>
      <c r="G7" s="44" t="s">
        <v>15</v>
      </c>
      <c r="H7" s="44" t="s">
        <v>16</v>
      </c>
      <c r="I7" s="44" t="s">
        <v>17</v>
      </c>
      <c r="J7" s="44" t="s">
        <v>18</v>
      </c>
      <c r="K7" s="44" t="s">
        <v>19</v>
      </c>
      <c r="L7" s="44" t="s">
        <v>20</v>
      </c>
      <c r="M7" s="44" t="s">
        <v>21</v>
      </c>
      <c r="N7" s="44" t="s">
        <v>22</v>
      </c>
      <c r="O7" s="44" t="s">
        <v>23</v>
      </c>
      <c r="P7" s="44" t="s">
        <v>24</v>
      </c>
      <c r="Q7" s="44" t="s">
        <v>25</v>
      </c>
      <c r="R7" s="44" t="s">
        <v>26</v>
      </c>
      <c r="S7" s="44" t="s">
        <v>27</v>
      </c>
      <c r="T7" s="44" t="s">
        <v>28</v>
      </c>
      <c r="U7" s="44" t="s">
        <v>29</v>
      </c>
      <c r="V7" s="44" t="s">
        <v>30</v>
      </c>
      <c r="W7" s="44" t="s">
        <v>31</v>
      </c>
      <c r="X7" s="44" t="s">
        <v>32</v>
      </c>
      <c r="Y7" s="44" t="s">
        <v>33</v>
      </c>
      <c r="Z7" s="44" t="s">
        <v>34</v>
      </c>
      <c r="AA7" s="44" t="s">
        <v>35</v>
      </c>
      <c r="AB7" s="44" t="s">
        <v>36</v>
      </c>
      <c r="AC7" s="44" t="s">
        <v>37</v>
      </c>
      <c r="AD7" s="44" t="s">
        <v>38</v>
      </c>
      <c r="AE7" s="44" t="s">
        <v>39</v>
      </c>
      <c r="AF7" s="44" t="s">
        <v>40</v>
      </c>
      <c r="AG7" s="44" t="s">
        <v>41</v>
      </c>
      <c r="AH7" s="44" t="s">
        <v>42</v>
      </c>
      <c r="AI7" s="44" t="s">
        <v>43</v>
      </c>
      <c r="AJ7" s="44" t="s">
        <v>44</v>
      </c>
      <c r="AK7" s="44" t="s">
        <v>45</v>
      </c>
      <c r="AL7" s="44" t="s">
        <v>46</v>
      </c>
      <c r="AM7" s="44" t="s">
        <v>47</v>
      </c>
      <c r="AN7" s="44" t="s">
        <v>48</v>
      </c>
      <c r="AO7" s="44" t="s">
        <v>49</v>
      </c>
      <c r="AP7" s="44" t="s">
        <v>50</v>
      </c>
      <c r="AQ7" s="44" t="s">
        <v>51</v>
      </c>
      <c r="AR7" s="44" t="s">
        <v>52</v>
      </c>
      <c r="AS7" s="44" t="s">
        <v>53</v>
      </c>
      <c r="AT7" s="44" t="s">
        <v>54</v>
      </c>
      <c r="AU7" s="44" t="s">
        <v>55</v>
      </c>
      <c r="AV7" s="44" t="s">
        <v>56</v>
      </c>
      <c r="AW7" s="44" t="s">
        <v>57</v>
      </c>
      <c r="AX7" s="44" t="s">
        <v>58</v>
      </c>
      <c r="AY7" s="45" t="s">
        <v>59</v>
      </c>
      <c r="AZ7" s="44" t="s">
        <v>60</v>
      </c>
      <c r="BA7" s="44" t="s">
        <v>61</v>
      </c>
      <c r="BB7" s="44" t="s">
        <v>62</v>
      </c>
      <c r="BC7" s="44" t="s">
        <v>63</v>
      </c>
      <c r="BD7" s="44" t="s">
        <v>64</v>
      </c>
      <c r="BE7" s="44" t="s">
        <v>65</v>
      </c>
      <c r="BF7" s="44" t="s">
        <v>66</v>
      </c>
      <c r="BG7" s="44" t="s">
        <v>67</v>
      </c>
      <c r="BH7" s="44" t="s">
        <v>68</v>
      </c>
      <c r="BI7" s="44" t="s">
        <v>69</v>
      </c>
      <c r="BJ7" s="44" t="s">
        <v>70</v>
      </c>
      <c r="BK7" s="44" t="s">
        <v>71</v>
      </c>
      <c r="BL7" s="44" t="s">
        <v>72</v>
      </c>
      <c r="BM7" s="44" t="s">
        <v>73</v>
      </c>
      <c r="BN7" s="44" t="s">
        <v>74</v>
      </c>
      <c r="BO7" s="44" t="s">
        <v>75</v>
      </c>
      <c r="BP7" s="44" t="s">
        <v>76</v>
      </c>
      <c r="BQ7" s="44" t="s">
        <v>77</v>
      </c>
      <c r="BR7" s="44" t="s">
        <v>78</v>
      </c>
      <c r="BS7" s="44" t="s">
        <v>79</v>
      </c>
      <c r="BT7" s="44" t="s">
        <v>80</v>
      </c>
      <c r="BU7" s="46" t="s">
        <v>82</v>
      </c>
      <c r="BV7" s="46" t="s">
        <v>83</v>
      </c>
      <c r="BW7" s="46" t="s">
        <v>84</v>
      </c>
      <c r="BX7" s="46" t="s">
        <v>81</v>
      </c>
      <c r="BY7" s="46" t="s">
        <v>85</v>
      </c>
      <c r="BZ7" s="46" t="s">
        <v>86</v>
      </c>
      <c r="CA7" s="46" t="s">
        <v>87</v>
      </c>
      <c r="CB7" s="46" t="s">
        <v>88</v>
      </c>
      <c r="CC7" s="46" t="s">
        <v>89</v>
      </c>
      <c r="CD7" s="46" t="s">
        <v>90</v>
      </c>
    </row>
    <row r="8" spans="1:82" x14ac:dyDescent="0.2">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7"/>
      <c r="AZ8" s="8"/>
      <c r="BA8" s="8"/>
      <c r="BB8" s="8"/>
      <c r="BC8" s="8"/>
      <c r="BD8" s="8"/>
      <c r="BE8" s="8"/>
      <c r="BF8" s="8"/>
      <c r="BG8" s="8"/>
      <c r="BH8" s="8"/>
      <c r="BI8" s="8"/>
      <c r="BJ8" s="8"/>
      <c r="BK8" s="8"/>
      <c r="BL8" s="8"/>
      <c r="BM8" s="8"/>
      <c r="BN8" s="8"/>
      <c r="BO8" s="8"/>
      <c r="BP8" s="8"/>
      <c r="BQ8" s="8"/>
      <c r="BR8" s="8"/>
      <c r="BS8" s="8"/>
      <c r="BT8" s="8"/>
      <c r="BU8" s="9"/>
      <c r="BV8" s="9"/>
      <c r="BW8" s="9"/>
      <c r="BX8" s="9"/>
      <c r="BY8" s="9"/>
      <c r="BZ8" s="9"/>
      <c r="CA8" s="9"/>
      <c r="CB8" s="9"/>
      <c r="CC8" s="9"/>
      <c r="CD8" s="9"/>
    </row>
    <row r="9" spans="1:82" x14ac:dyDescent="0.2">
      <c r="A9" s="6">
        <f t="shared" ref="A9:A26" si="0">LN/LP</f>
        <v>11.889400921658986</v>
      </c>
      <c r="B9" s="6">
        <f>IF(A9&gt;9.905,((A9/8.706)-1)*(1000/13.8), IF(A9&lt;7.507,(1-(8.706/A9))*(1000/13.8),0))</f>
        <v>26.496809810150815</v>
      </c>
      <c r="C9" s="6">
        <f t="shared" ref="C9:C26" si="1">LN/LK</f>
        <v>1.9398496240601504</v>
      </c>
      <c r="D9" s="6">
        <f>IF(C9&gt;1.783,((C9/1.526)-1)*(1000/16.8), IF(C9&lt;1.269,(1-(1.526/C9))*(1000/16.8),0))</f>
        <v>16.142795671072463</v>
      </c>
      <c r="E9" s="6">
        <f t="shared" ref="E9:E26" si="2">LCA/LN</f>
        <v>0.11627906976744186</v>
      </c>
      <c r="F9" s="6">
        <f>IF(E9&gt;0.183,((E9/0.151)-1)*(1000/21.2), IF(E9&lt;0.119,(1-(0.151/E9))*(1000/21.2),0))</f>
        <v>-14.084905660377357</v>
      </c>
      <c r="G9" s="6">
        <f t="shared" ref="G9:G26" si="3">LMG/LN</f>
        <v>5.0387596899224806E-2</v>
      </c>
      <c r="H9" s="6">
        <f>IF(G9&gt;0.141,((G9/0.113)-1)*(1000/24.8), IF(G9&lt;0.085,(1-(0.113/G9))*(1000/24.8),0))</f>
        <v>-50.105459057071961</v>
      </c>
      <c r="I9" s="6">
        <f t="shared" ref="I9:I26" si="4">(LN*100)/LMN</f>
        <v>43</v>
      </c>
      <c r="J9" s="6">
        <f>IF(I9&gt;15.524,((I9/9.401)-1)*(1000/65.1), IF(I9&lt;3.728,(1-(9.401/I9))*(1000/65.1),0))</f>
        <v>54.899869298474805</v>
      </c>
      <c r="K9" s="6">
        <f t="shared" ref="K9:K26" si="5">LFE/(LN*100)</f>
        <v>0.17054263565891473</v>
      </c>
      <c r="L9" s="6">
        <f>IF(K9&gt;0.408,((K9/0.351)-1)*(1000/16.2), IF(K9&lt;0.294,(1-(0.351/K9))*(1000/16.2),0))</f>
        <v>-65.31705948372614</v>
      </c>
      <c r="M9" s="6">
        <f t="shared" ref="M9:M26" si="6">LZN/(LN*100)</f>
        <v>6.9767441860465115E-2</v>
      </c>
      <c r="N9" s="6">
        <f>IF(M9&gt;0.127,((M9/0.106)-1)*(1000/19.8), IF(M9&lt;0.085,(1-(0.106/M9))*(1000/19.8),0))</f>
        <v>-26.228956228956221</v>
      </c>
      <c r="O9" s="6">
        <f t="shared" ref="O9:O26" si="7">(LN*10)/LCU</f>
        <v>5.608695652173914</v>
      </c>
      <c r="P9" s="6">
        <f>IF(O9&gt;6.883,((O9/4.998)-1)*(1000/37.7), IF(O9&lt;3.113,(1-(4.998/O9))*(1000/37.7),0))</f>
        <v>0</v>
      </c>
      <c r="Q9" s="6">
        <f t="shared" ref="Q9:Q26" si="8">LK/LP</f>
        <v>6.1290322580645169</v>
      </c>
      <c r="R9" s="6">
        <f>IF(Q9&gt;6.671,((Q9/5.633)-1)*(1000/18.4), IF(Q9&lt;4.595,(1-(5.633/Q9))*(1000/18.4),0))</f>
        <v>0</v>
      </c>
      <c r="S9" s="6">
        <f t="shared" ref="S9:S26" si="9">LCA/LP</f>
        <v>1.3824884792626728</v>
      </c>
      <c r="T9" s="6">
        <f>IF(S9&gt;1.663,((S9/1.314)-1)*(1000/26.6), IF(S9&lt;0.965,(1-(1.314/S9))*(1000/26.6),0))</f>
        <v>0</v>
      </c>
      <c r="U9" s="6">
        <f t="shared" ref="U9:U26" si="10">LMG/LP</f>
        <v>0.59907834101382496</v>
      </c>
      <c r="V9" s="6">
        <f>IF(U9&gt;1.268,((U9/0.984)-1)*(1000/28.9), IF(U9&lt;0.7,(1-(0.984/U9))*(1000/28.9),0))</f>
        <v>-22.232632419483625</v>
      </c>
      <c r="W9" s="6">
        <f t="shared" ref="W9:W26" si="11">(LP*100)/LMN</f>
        <v>3.6166666666666667</v>
      </c>
      <c r="X9" s="6">
        <f>IF(W9&gt;1.772,((W9/1.086)-1)*(1000/63.2), IF(W9&lt;0.4,(1-(1.086/W9))*(1000/63.2),0))</f>
        <v>36.871265278846224</v>
      </c>
      <c r="Y9" s="6">
        <f t="shared" ref="Y9:Y26" si="12">LFE/(LP*100)</f>
        <v>2.0276497695852536</v>
      </c>
      <c r="Z9" s="6">
        <f>IF(Y9&gt;3.595,((Y9/2.995)-1)*(1000/20), IF(Y9&lt;2.395,(1-(2.995/Y9))*(1000/20),0))</f>
        <v>-23.853977272727267</v>
      </c>
      <c r="AA9" s="6">
        <f t="shared" ref="AA9:AA26" si="13">LZN/(LP*100)</f>
        <v>0.82949308755760376</v>
      </c>
      <c r="AB9" s="6">
        <f>IF(AA9&gt;1.124,((AA9/0.908)-1)*(1000/23.8), IF(AA9&lt;0.692,(1-(0.908/AA9))*(1000/23.8),0))</f>
        <v>0</v>
      </c>
      <c r="AC9" s="6">
        <f t="shared" ref="AC9:AC26" si="14">(LP*10)/LCU</f>
        <v>0.47173913043478261</v>
      </c>
      <c r="AD9" s="6">
        <f>IF(AC9&gt;0.827,((AC9/0.588)-1)*(1000/40.6), IF(AC9&lt;0.349,(1-(0.588/AC9))*(1000/40.6),0))</f>
        <v>0</v>
      </c>
      <c r="AE9" s="6">
        <f t="shared" ref="AE9:AE26" si="15">LCA/LK</f>
        <v>0.22556390977443608</v>
      </c>
      <c r="AF9" s="6">
        <f>IF(AE9&gt;0.285,((AE9/0.222)-1)*(1000/28.4), IF(AE9&lt;0.159,(1-(0.222/AE9))*(1000/28.4),0))</f>
        <v>0</v>
      </c>
      <c r="AG9" s="6">
        <f t="shared" ref="AG9:AG26" si="16">LMG/LK</f>
        <v>9.7744360902255634E-2</v>
      </c>
      <c r="AH9" s="6">
        <f>IF(AG9&gt;0.215,((AG9/0.163)-1)*(1000/31.9), IF(AG9&lt;0.111,(1-(0.163/AG9))*(1000/31.9),0))</f>
        <v>-20.928381962864727</v>
      </c>
      <c r="AI9" s="6">
        <f t="shared" ref="AI9:AI26" si="17">(LK*100)/LMN</f>
        <v>22.166666666666668</v>
      </c>
      <c r="AJ9" s="6">
        <f>IF(AI9&gt;7.809,((AI9/4.615)-1)*(1000/69.2), IF(AI9&lt;1.421,(1-(4.615/AI9))*(1000/69.2),0))</f>
        <v>54.959220268998003</v>
      </c>
      <c r="AK9" s="6">
        <f t="shared" ref="AK9:AK26" si="18">LFE/(LK*100)</f>
        <v>0.33082706766917291</v>
      </c>
      <c r="AL9" s="6">
        <f>IF(AK9&gt;0.67,((AK9/0.55)-1)*(1000/21.8), IF(AK9&lt;0.43,(1-(0.55/AK9))*(1000/21.8),0))</f>
        <v>-30.389908256880748</v>
      </c>
      <c r="AM9" s="6">
        <f t="shared" ref="AM9:AM26" si="19">LZN/(LK*100)</f>
        <v>0.13533834586466165</v>
      </c>
      <c r="AN9" s="6">
        <f>IF(AM9&gt;0.2,((AM9/0.157)-1)*(1000/27.4), IF(AM9&lt;0.114,(1-(0.157/AM9))*(1000/27.4),0))</f>
        <v>0</v>
      </c>
      <c r="AO9" s="6">
        <f t="shared" ref="AO9:AO26" si="20">LCU/(LK*10)</f>
        <v>0.34586466165413532</v>
      </c>
      <c r="AP9" s="6">
        <f>IF(AO9&gt;0.453,((AO9/0.33)-1)*(1000/37.3), IF(AO9&lt;0.207,(1-(0.33/AO9))*(1000/37.3),0))</f>
        <v>0</v>
      </c>
      <c r="AQ9" s="6">
        <f t="shared" ref="AQ9:AQ26" si="21">LCA/LMG</f>
        <v>2.3076923076923075</v>
      </c>
      <c r="AR9" s="6">
        <f>IF(AQ9&gt;1.754,((AQ9/1.373)-1)*(1000/27.7), IF(AQ9&lt;0.992,(1-(1.373/AQ9))*(1000/27.7),0))</f>
        <v>24.57640539681762</v>
      </c>
      <c r="AS9" s="6">
        <f t="shared" ref="AS9:AS26" si="22">(LCA*100)/LMN</f>
        <v>5</v>
      </c>
      <c r="AT9" s="6">
        <f>IF(AS9&gt;2.591,((AS9/1.502)-1)*(1000/72.5), IF(AS9&lt;0.413,(1-(1.502/AS9))*(1000/72.5),0))</f>
        <v>32.122686992056565</v>
      </c>
      <c r="AU9" s="6">
        <f t="shared" ref="AU9:AU26" si="23">LFE/(LCA*100)</f>
        <v>1.4666666666666666</v>
      </c>
      <c r="AV9" s="6">
        <f>IF(AU9&gt;3.048,((AU9/2.414)-1)*(1000/26.3), IF(AU9&lt;1.78,(1-(2.414/AU9))*(1000/26.3),0))</f>
        <v>-24.559281023159361</v>
      </c>
      <c r="AW9" s="6">
        <f t="shared" ref="AW9:AW26" si="24">(LCA*100)/LZN</f>
        <v>1.6666666666666667</v>
      </c>
      <c r="AX9" s="6">
        <f>IF(AW9&gt;1.871,((AW9/1.473)-1)*(1000/27), IF(AW9&lt;1.075,(1-(1.473/AW9))*(1000/27),0))</f>
        <v>0</v>
      </c>
      <c r="AY9" s="1">
        <f t="shared" ref="AY9:AY26" si="25">(LCA*10)/LCU</f>
        <v>0.65217391304347827</v>
      </c>
      <c r="AZ9" s="6">
        <f>IF(AY9&gt;1.067,((AY9/0.743)-1)*(1000/43.6), IF(AY9&lt;0.419,(1-(0.743/AY9))*(1000/43.6),0))</f>
        <v>0</v>
      </c>
      <c r="BA9" s="6">
        <f t="shared" ref="BA9:BA26" si="26">(LMG*100)/LMN</f>
        <v>2.1666666666666665</v>
      </c>
      <c r="BB9" s="6">
        <f>IF(BA9&gt;1.998,((BA9/1.129)-1)*(1000/77), IF(BA9&lt;0.26,(1-(1.129/BA9))*(1000/77),0))</f>
        <v>11.936395461639039</v>
      </c>
      <c r="BC9" s="6">
        <f t="shared" ref="BC9:BC26" si="27">(LMG*100)/LFE</f>
        <v>0.29545454545454547</v>
      </c>
      <c r="BD9" s="6">
        <f>IF(BC9&gt;0.421,((BC9/0.329)-1)*(1000/28), IF(BC9&lt;0.237,(1-(0.329/BC9))*(1000/28),0))</f>
        <v>0</v>
      </c>
      <c r="BE9" s="6">
        <f t="shared" ref="BE9:BE26" si="28">(LMG*100)/LZN</f>
        <v>0.72222222222222221</v>
      </c>
      <c r="BF9" s="6">
        <f>IF(BE9&gt;1.418,((BE9/1.1)-1)*(1000/28.9), IF(BE9&lt;0.782,(1-(1.1/BE9))*(1000/28.9),0))</f>
        <v>-18.099547511312224</v>
      </c>
      <c r="BG9" s="6">
        <f t="shared" ref="BG9:BG26" si="29">(LMG*10)/LCU</f>
        <v>0.28260869565217395</v>
      </c>
      <c r="BH9" s="6">
        <f>IF(BG9&gt;0.78,((BG9/0.552)-1)*(1000/41.3), IF(BG9&lt;0.324,(1-(0.552/BG9))*(1000/41.3),0))</f>
        <v>-23.080648165393924</v>
      </c>
      <c r="BI9" s="6">
        <f t="shared" ref="BI9:BI26" si="30">LFE/LMN</f>
        <v>7.333333333333333</v>
      </c>
      <c r="BJ9" s="6">
        <f>IF(BI9&gt;5.493,((BI9/3.302)-1)*(1000/66.3), IF(BI9&lt;1.111,(1-(3.302/BI9))*(1000/66.3),0))</f>
        <v>18.414422875177497</v>
      </c>
      <c r="BK9" s="6">
        <f t="shared" ref="BK9:BK26" si="31">LZN/LMN</f>
        <v>3</v>
      </c>
      <c r="BL9" s="6">
        <f>IF(BK9&gt;1.756,((BK9/1.008)-1)*(1000/74.2), IF(BK9&lt;0.26,(1-(1.008/BK9))*(1000/74.2),0))</f>
        <v>26.63329482736491</v>
      </c>
      <c r="BM9" s="6">
        <f t="shared" ref="BM9:BM26" si="32">LMN/(LCU*10)</f>
        <v>0.13043478260869565</v>
      </c>
      <c r="BN9" s="6">
        <f>IF(BM9&gt;1.95,((BM9/0.998)-1)*(1000/95.4), IF(BM9&lt;0.046,(1-(0.998/BM9))*(1000/95.4),0))</f>
        <v>0</v>
      </c>
      <c r="BO9" s="6">
        <f t="shared" ref="BO9:BO26" si="33">LZN/LFE</f>
        <v>0.40909090909090912</v>
      </c>
      <c r="BP9" s="6">
        <f>IF(BO9&gt;0.392,((BO9/0.312)-1)*(1000/25.6), IF(BO9&lt;0.232,(1-(0.312/BO9))*(1000/25.6),0))</f>
        <v>12.15581293706294</v>
      </c>
      <c r="BQ9" s="6">
        <f t="shared" ref="BQ9:BQ26" si="34">LFE/(LCU*10)</f>
        <v>0.95652173913043481</v>
      </c>
      <c r="BR9" s="6">
        <f>IF(BQ9&gt;2.426,((BQ9/1.733)-1)*(1000/40), IF(BQ9&lt;1.04,(1-(1.733/BQ9))*(1000/40),0))</f>
        <v>-20.294318181818184</v>
      </c>
      <c r="BS9" s="6">
        <f t="shared" ref="BS9:BS26" si="35">LZN/(LCU*10)</f>
        <v>0.39130434782608697</v>
      </c>
      <c r="BT9" s="6">
        <f>IF(BS9&gt;0.723,((BS9/0.522)-1)*(1000/38.5), IF(BS9&lt;0.321,(1-(0.522/BS9))*(1000/38.5),0))</f>
        <v>0</v>
      </c>
      <c r="BU9" s="2">
        <f>(B9+D9-F9-H9+J9-L9-N9+P9)/8</f>
        <v>31.659481901228723</v>
      </c>
      <c r="BV9" s="2">
        <f>(X9+AD9-B9-R9-T9-V9-Z9-AB9)/8</f>
        <v>7.0576331451132877</v>
      </c>
      <c r="BW9" s="2">
        <f>(R9+AJ9-D9-AF9-AH9-AL9-AN9-AP9)/8</f>
        <v>11.266839352208876</v>
      </c>
      <c r="BX9" s="2">
        <f>(F9+T9+AF9+AR9+AT9-AV9+AX9+AZ9)/8</f>
        <v>8.3966834689570238</v>
      </c>
      <c r="BY9" s="2">
        <f>(H9-AR9+V9+AH9+BB9+BD9+BF9+BH9)/8</f>
        <v>-18.385834881413132</v>
      </c>
      <c r="BZ9" s="2">
        <f>(L9+Z9+AL9+AV9-BD9+BJ9-BP9+BR9)/8</f>
        <v>-19.769491785024641</v>
      </c>
      <c r="CA9" s="2">
        <f>(BN9-J9-X9-AJ9-AT9-BB9-BJ9-BL9)/8</f>
        <v>-29.479644375319634</v>
      </c>
      <c r="CB9" s="2">
        <f>(N9+AB9+AN9-AX9-BF9+BP9+BL9+BT9)/8</f>
        <v>3.8324623808479816</v>
      </c>
      <c r="CC9" s="2">
        <f>(AP9-P9-AD9-AZ9-BH9-BR9-BN9-BT9)/8</f>
        <v>5.4218707934015136</v>
      </c>
      <c r="CD9" s="2">
        <f>ABS(BU9)+ABS(BV9)+ABS(BW9)+ABS(BX9)+ABS(BY9)+ABS(BZ9)+ABS(CA9)+ABS(CB9)+ABS(CC9)</f>
        <v>135.26994208351482</v>
      </c>
    </row>
    <row r="10" spans="1:82" x14ac:dyDescent="0.2">
      <c r="A10" s="6">
        <f t="shared" si="0"/>
        <v>10.124481327800829</v>
      </c>
      <c r="B10" s="6">
        <f t="shared" ref="B10:B26" si="36">IF(A10&gt;9.905,((A10/8.706)-1)*(1000/13.8), IF(A10&lt;7.507,(1-(8.706/A10))*(1000/13.8),0))</f>
        <v>11.806627844538584</v>
      </c>
      <c r="C10" s="6">
        <f t="shared" si="1"/>
        <v>1.5844155844155843</v>
      </c>
      <c r="D10" s="6">
        <f t="shared" ref="D10:D26" si="37">IF(C10&gt;1.783,((C10/1.526)-1)*(1000/16.8), IF(C10&lt;1.269,(1-(1.526/C10))*(1000/16.8),0))</f>
        <v>0</v>
      </c>
      <c r="E10" s="6">
        <f t="shared" si="2"/>
        <v>0.1721311475409836</v>
      </c>
      <c r="F10" s="6">
        <f t="shared" ref="F10:F26" si="38">IF(E10&gt;0.183,((E10/0.151)-1)*(1000/21.2), IF(E10&lt;0.119,(1-(0.151/E10))*(1000/21.2),0))</f>
        <v>0</v>
      </c>
      <c r="G10" s="6">
        <f t="shared" si="3"/>
        <v>6.9672131147540992E-2</v>
      </c>
      <c r="H10" s="6">
        <f t="shared" ref="H10:H26" si="39">IF(G10&gt;0.141,((G10/0.113)-1)*(1000/24.8), IF(G10&lt;0.085,(1-(0.113/G10))*(1000/24.8),0))</f>
        <v>-25.075901328273236</v>
      </c>
      <c r="I10" s="6">
        <f t="shared" si="4"/>
        <v>24.4</v>
      </c>
      <c r="J10" s="6">
        <f t="shared" ref="J10:J26" si="40">IF(I10&gt;15.524,((I10/9.401)-1)*(1000/65.1), IF(I10&lt;3.728,(1-(9.401/I10))*(1000/65.1),0))</f>
        <v>24.507965701593008</v>
      </c>
      <c r="K10" s="6">
        <f t="shared" si="5"/>
        <v>0.23360655737704919</v>
      </c>
      <c r="L10" s="6">
        <f t="shared" ref="L10:L26" si="41">IF(K10&gt;0.408,((K10/0.351)-1)*(1000/16.2), IF(K10&lt;0.294,(1-(0.351/K10))*(1000/16.2),0))</f>
        <v>-31.0201429499675</v>
      </c>
      <c r="M10" s="6">
        <f t="shared" si="6"/>
        <v>8.1967213114754092E-2</v>
      </c>
      <c r="N10" s="6">
        <f t="shared" ref="N10:N26" si="42">IF(M10&gt;0.127,((M10/0.106)-1)*(1000/19.8), IF(M10&lt;0.085,(1-(0.106/M10))*(1000/19.8),0))</f>
        <v>-14.808080808080815</v>
      </c>
      <c r="O10" s="6">
        <f t="shared" si="7"/>
        <v>4.1355932203389827</v>
      </c>
      <c r="P10" s="6">
        <f t="shared" ref="P10:P26" si="43">IF(O10&gt;6.883,((O10/4.998)-1)*(1000/37.7), IF(O10&lt;3.113,(1-(4.998/O10))*(1000/37.7),0))</f>
        <v>0</v>
      </c>
      <c r="Q10" s="6">
        <f t="shared" si="8"/>
        <v>6.390041493775934</v>
      </c>
      <c r="R10" s="6">
        <f t="shared" ref="R10:R26" si="44">IF(Q10&gt;6.671,((Q10/5.633)-1)*(1000/18.4), IF(Q10&lt;4.595,(1-(5.633/Q10))*(1000/18.4),0))</f>
        <v>0</v>
      </c>
      <c r="S10" s="6">
        <f t="shared" si="9"/>
        <v>1.7427385892116183</v>
      </c>
      <c r="T10" s="6">
        <f t="shared" ref="T10:T26" si="45">IF(S10&gt;1.663,((S10/1.314)-1)*(1000/26.6), IF(S10&lt;0.965,(1-(1.314/S10))*(1000/26.6),0))</f>
        <v>12.266356221936642</v>
      </c>
      <c r="U10" s="6">
        <f t="shared" si="10"/>
        <v>0.70539419087136934</v>
      </c>
      <c r="V10" s="6">
        <f t="shared" ref="V10:V26" si="46">IF(U10&gt;1.268,((U10/0.984)-1)*(1000/28.9), IF(U10&lt;0.7,(1-(0.984/U10))*(1000/28.9),0))</f>
        <v>0</v>
      </c>
      <c r="W10" s="6">
        <f t="shared" si="11"/>
        <v>2.4099999999999997</v>
      </c>
      <c r="X10" s="6">
        <f t="shared" ref="X10:X26" si="47">IF(W10&gt;1.772,((W10/1.086)-1)*(1000/63.2), IF(W10&lt;0.4,(1-(1.086/W10))*(1000/63.2),0))</f>
        <v>19.290393267594467</v>
      </c>
      <c r="Y10" s="6">
        <f t="shared" si="12"/>
        <v>2.3651452282157677</v>
      </c>
      <c r="Z10" s="6">
        <f t="shared" ref="Z10:Z26" si="48">IF(Y10&gt;3.595,((Y10/2.995)-1)*(1000/20), IF(Y10&lt;2.395,(1-(2.995/Y10))*(1000/20),0))</f>
        <v>-13.315350877192989</v>
      </c>
      <c r="AA10" s="6">
        <f t="shared" si="13"/>
        <v>0.82987551867219922</v>
      </c>
      <c r="AB10" s="6">
        <f t="shared" ref="AB10:AB26" si="49">IF(AA10&gt;1.124,((AA10/0.908)-1)*(1000/23.8), IF(AA10&lt;0.692,(1-(0.908/AA10))*(1000/23.8),0))</f>
        <v>0</v>
      </c>
      <c r="AC10" s="6">
        <f t="shared" si="14"/>
        <v>0.40847457627118644</v>
      </c>
      <c r="AD10" s="6">
        <f t="shared" ref="AD10:AD26" si="50">IF(AC10&gt;0.827,((AC10/0.588)-1)*(1000/40.6), IF(AC10&lt;0.349,(1-(0.588/AC10))*(1000/40.6),0))</f>
        <v>0</v>
      </c>
      <c r="AE10" s="6">
        <f t="shared" si="15"/>
        <v>0.27272727272727271</v>
      </c>
      <c r="AF10" s="6">
        <f t="shared" ref="AF10:AF26" si="51">IF(AE10&gt;0.285,((AE10/0.222)-1)*(1000/28.4), IF(AE10&lt;0.159,(1-(0.222/AE10))*(1000/28.4),0))</f>
        <v>0</v>
      </c>
      <c r="AG10" s="6">
        <f t="shared" si="16"/>
        <v>0.1103896103896104</v>
      </c>
      <c r="AH10" s="6">
        <f t="shared" ref="AH10:AH26" si="52">IF(AG10&gt;0.215,((AG10/0.163)-1)*(1000/31.9), IF(AG10&lt;0.111,(1-(0.163/AG10))*(1000/31.9),0))</f>
        <v>-14.940070071915912</v>
      </c>
      <c r="AI10" s="6">
        <f t="shared" si="17"/>
        <v>15.4</v>
      </c>
      <c r="AJ10" s="6">
        <f t="shared" ref="AJ10:AJ26" si="53">IF(AI10&gt;7.809,((AI10/4.615)-1)*(1000/69.2), IF(AI10&lt;1.421,(1-(4.615/AI10))*(1000/69.2),0))</f>
        <v>33.770877823633661</v>
      </c>
      <c r="AK10" s="6">
        <f t="shared" si="18"/>
        <v>0.37012987012987014</v>
      </c>
      <c r="AL10" s="6">
        <f t="shared" ref="AL10:AL26" si="54">IF(AK10&gt;0.67,((AK10/0.55)-1)*(1000/21.8), IF(AK10&lt;0.43,(1-(0.55/AK10))*(1000/21.8),0))</f>
        <v>-22.291968453243207</v>
      </c>
      <c r="AM10" s="6">
        <f t="shared" si="19"/>
        <v>0.12987012987012986</v>
      </c>
      <c r="AN10" s="6">
        <f t="shared" ref="AN10:AN26" si="55">IF(AM10&gt;0.2,((AM10/0.157)-1)*(1000/27.4), IF(AM10&lt;0.114,(1-(0.157/AM10))*(1000/27.4),0))</f>
        <v>0</v>
      </c>
      <c r="AO10" s="6">
        <f t="shared" si="20"/>
        <v>0.38311688311688313</v>
      </c>
      <c r="AP10" s="6">
        <f t="shared" ref="AP10:AP26" si="56">IF(AO10&gt;0.453,((AO10/0.33)-1)*(1000/37.3), IF(AO10&lt;0.207,(1-(0.33/AO10))*(1000/37.3),0))</f>
        <v>0</v>
      </c>
      <c r="AQ10" s="6">
        <f t="shared" si="21"/>
        <v>2.4705882352941173</v>
      </c>
      <c r="AR10" s="6">
        <f t="shared" ref="AR10:AR26" si="57">IF(AQ10&gt;1.754,((AQ10/1.373)-1)*(1000/27.7), IF(AQ10&lt;0.992,(1-(1.373/AQ10))*(1000/27.7),0))</f>
        <v>28.859522227121762</v>
      </c>
      <c r="AS10" s="6">
        <f t="shared" si="22"/>
        <v>4.2</v>
      </c>
      <c r="AT10" s="6">
        <f t="shared" ref="AT10:AT26" si="58">IF(AS10&gt;2.591,((AS10/1.502)-1)*(1000/72.5), IF(AS10&lt;0.413,(1-(1.502/AS10))*(1000/72.5),0))</f>
        <v>24.77616052160338</v>
      </c>
      <c r="AU10" s="6">
        <f t="shared" si="23"/>
        <v>1.3571428571428572</v>
      </c>
      <c r="AV10" s="6">
        <f t="shared" ref="AV10:AV26" si="59">IF(AU10&gt;3.048,((AU10/2.414)-1)*(1000/26.3), IF(AU10&lt;1.78,(1-(2.414/AU10))*(1000/26.3),0))</f>
        <v>-29.609765859515711</v>
      </c>
      <c r="AW10" s="6">
        <f t="shared" si="24"/>
        <v>2.1</v>
      </c>
      <c r="AX10" s="6">
        <f t="shared" ref="AX10:AX26" si="60">IF(AW10&gt;1.871,((AW10/1.473)-1)*(1000/27), IF(AW10&lt;1.075,(1-(1.473/AW10))*(1000/27),0))</f>
        <v>15.765256091121671</v>
      </c>
      <c r="AY10" s="1">
        <f t="shared" si="25"/>
        <v>0.71186440677966101</v>
      </c>
      <c r="AZ10" s="6">
        <f t="shared" ref="AZ10:AZ26" si="61">IF(AY10&gt;1.067,((AY10/0.743)-1)*(1000/43.6), IF(AY10&lt;0.419,(1-(0.743/AY10))*(1000/43.6),0))</f>
        <v>0</v>
      </c>
      <c r="BA10" s="6">
        <f t="shared" si="26"/>
        <v>1.7</v>
      </c>
      <c r="BB10" s="6">
        <f t="shared" ref="BB10:BB26" si="62">IF(BA10&gt;1.998,((BA10/1.129)-1)*(1000/77), IF(BA10&lt;0.26,(1-(1.129/BA10))*(1000/77),0))</f>
        <v>0</v>
      </c>
      <c r="BC10" s="6">
        <f t="shared" si="27"/>
        <v>0.2982456140350877</v>
      </c>
      <c r="BD10" s="6">
        <f t="shared" ref="BD10:BD26" si="63">IF(BC10&gt;0.421,((BC10/0.329)-1)*(1000/28), IF(BC10&lt;0.237,(1-(0.329/BC10))*(1000/28),0))</f>
        <v>0</v>
      </c>
      <c r="BE10" s="6">
        <f t="shared" si="28"/>
        <v>0.85</v>
      </c>
      <c r="BF10" s="6">
        <f t="shared" ref="BF10:BF26" si="64">IF(BE10&gt;1.418,((BE10/1.1)-1)*(1000/28.9), IF(BE10&lt;0.782,(1-(1.1/BE10))*(1000/28.9),0))</f>
        <v>0</v>
      </c>
      <c r="BG10" s="6">
        <f t="shared" si="29"/>
        <v>0.28813559322033899</v>
      </c>
      <c r="BH10" s="6">
        <f t="shared" ref="BH10:BH26" si="65">IF(BG10&gt;0.78,((BG10/0.552)-1)*(1000/41.3), IF(BG10&lt;0.324,(1-(0.552/BG10))*(1000/41.3),0))</f>
        <v>-22.173479561316054</v>
      </c>
      <c r="BI10" s="6">
        <f t="shared" si="30"/>
        <v>5.7</v>
      </c>
      <c r="BJ10" s="6">
        <f t="shared" ref="BJ10:BJ26" si="66">IF(BI10&gt;5.493,((BI10/3.302)-1)*(1000/66.3), IF(BI10&lt;1.111,(1-(3.302/BI10))*(1000/66.3),0))</f>
        <v>10.953642977015621</v>
      </c>
      <c r="BK10" s="6">
        <f t="shared" si="31"/>
        <v>2</v>
      </c>
      <c r="BL10" s="6">
        <f t="shared" ref="BL10:BL26" si="67">IF(BK10&gt;1.756,((BK10/1.008)-1)*(1000/74.2), IF(BK10&lt;0.26,(1-(1.008/BK10))*(1000/74.2),0))</f>
        <v>13.263166901980918</v>
      </c>
      <c r="BM10" s="6">
        <f t="shared" si="32"/>
        <v>0.16949152542372881</v>
      </c>
      <c r="BN10" s="6">
        <f t="shared" ref="BN10:BN26" si="68">IF(BM10&gt;1.95,((BM10/0.998)-1)*(1000/95.4), IF(BM10&lt;0.046,(1-(0.998/BM10))*(1000/95.4),0))</f>
        <v>0</v>
      </c>
      <c r="BO10" s="6">
        <f t="shared" si="33"/>
        <v>0.35087719298245612</v>
      </c>
      <c r="BP10" s="6">
        <f t="shared" ref="BP10:BP26" si="69">IF(BO10&gt;0.392,((BO10/0.312)-1)*(1000/25.6), IF(BO10&lt;0.232,(1-(0.312/BO10))*(1000/25.6),0))</f>
        <v>0</v>
      </c>
      <c r="BQ10" s="6">
        <f t="shared" si="34"/>
        <v>0.96610169491525422</v>
      </c>
      <c r="BR10" s="6">
        <f t="shared" ref="BR10:BR26" si="70">IF(BQ10&gt;2.426,((BQ10/1.733)-1)*(1000/40), IF(BQ10&lt;1.04,(1-(1.733/BQ10))*(1000/40),0))</f>
        <v>-19.845175438596495</v>
      </c>
      <c r="BS10" s="6">
        <f t="shared" si="35"/>
        <v>0.33898305084745761</v>
      </c>
      <c r="BT10" s="6">
        <f t="shared" ref="BT10:BT26" si="71">IF(BS10&gt;0.723,((BS10/0.522)-1)*(1000/38.5), IF(BS10&lt;0.321,(1-(0.522/BS10))*(1000/38.5),0))</f>
        <v>0</v>
      </c>
      <c r="BU10" s="2">
        <f t="shared" ref="BU10:BU26" si="72">(B10+D10-F10-H10+J10-L10-N10+P10)/8</f>
        <v>13.402339829056643</v>
      </c>
      <c r="BV10" s="2">
        <f t="shared" ref="BV10:BV26" si="73">(X10+AD10-B10-R10-T10-V10-Z10-AB10)/8</f>
        <v>1.0665950097890289</v>
      </c>
      <c r="BW10" s="2">
        <f t="shared" ref="BW10:BW26" si="74">(R10+AJ10-D10-AF10-AH10-AL10-AN10-AP10)/8</f>
        <v>8.8753645435990975</v>
      </c>
      <c r="BX10" s="2">
        <f t="shared" ref="BX10:BX26" si="75">(F10+T10+AF10+AR10+AT10-AV10+AX10+AZ10)/8</f>
        <v>13.909632615162394</v>
      </c>
      <c r="BY10" s="2">
        <f t="shared" ref="BY10:BY26" si="76">(H10-AR10+V10+AH10+BB10+BD10+BF10+BH10)/8</f>
        <v>-11.38112164857837</v>
      </c>
      <c r="BZ10" s="2">
        <f t="shared" ref="BZ10:BZ26" si="77">(L10+Z10+AL10+AV10-BD10+BJ10-BP10+BR10)/8</f>
        <v>-13.141095075187536</v>
      </c>
      <c r="CA10" s="2">
        <f t="shared" ref="CA10:CA26" si="78">(BN10-J10-X10-AJ10-AT10-BB10-BJ10-BL10)/8</f>
        <v>-15.820275899177631</v>
      </c>
      <c r="CB10" s="2">
        <f t="shared" ref="CB10:CB26" si="79">(N10+AB10+AN10-AX10-BF10+BP10+BL10+BT10)/8</f>
        <v>-2.1637712496526964</v>
      </c>
      <c r="CC10" s="2">
        <f t="shared" ref="CC10:CC26" si="80">(AP10-P10-AD10-AZ10-BH10-BR10-BN10-BT10)/8</f>
        <v>5.2523318749890686</v>
      </c>
      <c r="CD10" s="2">
        <f t="shared" ref="CD10:CD26" si="81">ABS(BU10)+ABS(BV10)+ABS(BW10)+ABS(BX10)+ABS(BY10)+ABS(BZ10)+ABS(CA10)+ABS(CB10)+ABS(CC10)</f>
        <v>85.012527745192472</v>
      </c>
    </row>
    <row r="11" spans="1:82" x14ac:dyDescent="0.2">
      <c r="A11" s="6">
        <f t="shared" si="0"/>
        <v>9.5501730103806235</v>
      </c>
      <c r="B11" s="6">
        <f t="shared" si="36"/>
        <v>0</v>
      </c>
      <c r="C11" s="6">
        <f t="shared" si="1"/>
        <v>1.5505617977528088</v>
      </c>
      <c r="D11" s="6">
        <f t="shared" si="37"/>
        <v>0</v>
      </c>
      <c r="E11" s="6">
        <f t="shared" si="2"/>
        <v>0.13405797101449277</v>
      </c>
      <c r="F11" s="6">
        <f t="shared" si="38"/>
        <v>0</v>
      </c>
      <c r="G11" s="6">
        <f t="shared" si="3"/>
        <v>7.6086956521739135E-2</v>
      </c>
      <c r="H11" s="6">
        <f t="shared" si="39"/>
        <v>-19.562211981566819</v>
      </c>
      <c r="I11" s="6">
        <f t="shared" si="4"/>
        <v>17.25</v>
      </c>
      <c r="J11" s="6">
        <f t="shared" si="40"/>
        <v>12.825056523221784</v>
      </c>
      <c r="K11" s="6">
        <f t="shared" si="5"/>
        <v>0.21739130434782608</v>
      </c>
      <c r="L11" s="6">
        <f t="shared" si="41"/>
        <v>-37.938271604938279</v>
      </c>
      <c r="M11" s="6">
        <f t="shared" si="6"/>
        <v>7.6086956521739135E-2</v>
      </c>
      <c r="N11" s="6">
        <f t="shared" si="42"/>
        <v>-19.85569985569985</v>
      </c>
      <c r="O11" s="6">
        <f t="shared" si="7"/>
        <v>3.7808219178082192</v>
      </c>
      <c r="P11" s="6">
        <f t="shared" si="43"/>
        <v>0</v>
      </c>
      <c r="Q11" s="6">
        <f t="shared" si="8"/>
        <v>6.1591695501730106</v>
      </c>
      <c r="R11" s="6">
        <f t="shared" si="44"/>
        <v>0</v>
      </c>
      <c r="S11" s="6">
        <f t="shared" si="9"/>
        <v>1.2802768166089966</v>
      </c>
      <c r="T11" s="6">
        <f t="shared" si="45"/>
        <v>0</v>
      </c>
      <c r="U11" s="6">
        <f t="shared" si="10"/>
        <v>0.72664359861591699</v>
      </c>
      <c r="V11" s="6">
        <f t="shared" si="46"/>
        <v>0</v>
      </c>
      <c r="W11" s="6">
        <f t="shared" si="11"/>
        <v>1.8062499999999999</v>
      </c>
      <c r="X11" s="6">
        <f t="shared" si="47"/>
        <v>10.493886518870779</v>
      </c>
      <c r="Y11" s="6">
        <f t="shared" si="12"/>
        <v>2.0761245674740487</v>
      </c>
      <c r="Z11" s="6">
        <f t="shared" si="48"/>
        <v>-22.129583333333326</v>
      </c>
      <c r="AA11" s="6">
        <f t="shared" si="13"/>
        <v>0.72664359861591699</v>
      </c>
      <c r="AB11" s="6">
        <f t="shared" si="49"/>
        <v>0</v>
      </c>
      <c r="AC11" s="6">
        <f t="shared" si="14"/>
        <v>0.39589041095890409</v>
      </c>
      <c r="AD11" s="6">
        <f t="shared" si="50"/>
        <v>0</v>
      </c>
      <c r="AE11" s="6">
        <f t="shared" si="15"/>
        <v>0.20786516853932585</v>
      </c>
      <c r="AF11" s="6">
        <f t="shared" si="51"/>
        <v>0</v>
      </c>
      <c r="AG11" s="6">
        <f t="shared" si="16"/>
        <v>0.11797752808988764</v>
      </c>
      <c r="AH11" s="6">
        <f t="shared" si="52"/>
        <v>0</v>
      </c>
      <c r="AI11" s="6">
        <f t="shared" si="17"/>
        <v>11.125</v>
      </c>
      <c r="AJ11" s="6">
        <f t="shared" si="53"/>
        <v>20.384646697436725</v>
      </c>
      <c r="AK11" s="6">
        <f t="shared" si="18"/>
        <v>0.33707865168539325</v>
      </c>
      <c r="AL11" s="6">
        <f t="shared" si="54"/>
        <v>-28.975535168195726</v>
      </c>
      <c r="AM11" s="6">
        <f t="shared" si="19"/>
        <v>0.11797752808988764</v>
      </c>
      <c r="AN11" s="6">
        <f t="shared" si="55"/>
        <v>0</v>
      </c>
      <c r="AO11" s="6">
        <f t="shared" si="20"/>
        <v>0.41011235955056174</v>
      </c>
      <c r="AP11" s="6">
        <f t="shared" si="56"/>
        <v>0</v>
      </c>
      <c r="AQ11" s="6">
        <f t="shared" si="21"/>
        <v>1.7619047619047619</v>
      </c>
      <c r="AR11" s="6">
        <f t="shared" si="57"/>
        <v>10.225697815917654</v>
      </c>
      <c r="AS11" s="6">
        <f t="shared" si="22"/>
        <v>2.3125</v>
      </c>
      <c r="AT11" s="6">
        <f t="shared" si="58"/>
        <v>0</v>
      </c>
      <c r="AU11" s="6">
        <f t="shared" si="23"/>
        <v>1.6216216216216217</v>
      </c>
      <c r="AV11" s="6">
        <f t="shared" si="59"/>
        <v>-18.579214195183773</v>
      </c>
      <c r="AW11" s="6">
        <f t="shared" si="24"/>
        <v>1.7619047619047619</v>
      </c>
      <c r="AX11" s="6">
        <f t="shared" si="60"/>
        <v>0</v>
      </c>
      <c r="AY11" s="1">
        <f t="shared" si="25"/>
        <v>0.50684931506849318</v>
      </c>
      <c r="AZ11" s="6">
        <f t="shared" si="61"/>
        <v>0</v>
      </c>
      <c r="BA11" s="6">
        <f t="shared" si="26"/>
        <v>1.3125</v>
      </c>
      <c r="BB11" s="6">
        <f t="shared" si="62"/>
        <v>0</v>
      </c>
      <c r="BC11" s="6">
        <f t="shared" si="27"/>
        <v>0.35</v>
      </c>
      <c r="BD11" s="6">
        <f t="shared" si="63"/>
        <v>0</v>
      </c>
      <c r="BE11" s="6">
        <f t="shared" si="28"/>
        <v>1</v>
      </c>
      <c r="BF11" s="6">
        <f t="shared" si="64"/>
        <v>0</v>
      </c>
      <c r="BG11" s="6">
        <f t="shared" si="29"/>
        <v>0.28767123287671237</v>
      </c>
      <c r="BH11" s="6">
        <f t="shared" si="65"/>
        <v>-22.248356969906606</v>
      </c>
      <c r="BI11" s="6">
        <f t="shared" si="30"/>
        <v>3.75</v>
      </c>
      <c r="BJ11" s="6">
        <f t="shared" si="66"/>
        <v>0</v>
      </c>
      <c r="BK11" s="6">
        <f t="shared" si="31"/>
        <v>1.3125</v>
      </c>
      <c r="BL11" s="6">
        <f t="shared" si="67"/>
        <v>0</v>
      </c>
      <c r="BM11" s="6">
        <f t="shared" si="32"/>
        <v>0.21917808219178081</v>
      </c>
      <c r="BN11" s="6">
        <f t="shared" si="68"/>
        <v>0</v>
      </c>
      <c r="BO11" s="6">
        <f t="shared" si="33"/>
        <v>0.35</v>
      </c>
      <c r="BP11" s="6">
        <f t="shared" si="69"/>
        <v>0</v>
      </c>
      <c r="BQ11" s="6">
        <f t="shared" si="34"/>
        <v>0.82191780821917804</v>
      </c>
      <c r="BR11" s="6">
        <f t="shared" si="70"/>
        <v>-27.712083333333336</v>
      </c>
      <c r="BS11" s="6">
        <f t="shared" si="35"/>
        <v>0.28767123287671231</v>
      </c>
      <c r="BT11" s="6">
        <f t="shared" si="71"/>
        <v>-21.157699443413733</v>
      </c>
      <c r="BU11" s="2">
        <f t="shared" si="72"/>
        <v>11.272654995678343</v>
      </c>
      <c r="BV11" s="2">
        <f t="shared" si="73"/>
        <v>4.0779337315255129</v>
      </c>
      <c r="BW11" s="2">
        <f t="shared" si="74"/>
        <v>6.1700227332040569</v>
      </c>
      <c r="BX11" s="2">
        <f t="shared" si="75"/>
        <v>3.6006140013876786</v>
      </c>
      <c r="BY11" s="2">
        <f t="shared" si="76"/>
        <v>-6.5045333459238854</v>
      </c>
      <c r="BZ11" s="2">
        <f t="shared" si="77"/>
        <v>-16.916835954373056</v>
      </c>
      <c r="CA11" s="2">
        <f t="shared" si="78"/>
        <v>-5.4629487174411615</v>
      </c>
      <c r="CB11" s="2">
        <f t="shared" si="79"/>
        <v>-5.1266749123891984</v>
      </c>
      <c r="CC11" s="2">
        <f t="shared" si="80"/>
        <v>8.8897674683317085</v>
      </c>
      <c r="CD11" s="2">
        <f t="shared" si="81"/>
        <v>68.021985860254603</v>
      </c>
    </row>
    <row r="12" spans="1:82" x14ac:dyDescent="0.2">
      <c r="A12" s="6">
        <f t="shared" si="0"/>
        <v>11.651785714285714</v>
      </c>
      <c r="B12" s="6">
        <f t="shared" si="36"/>
        <v>24.519036632122067</v>
      </c>
      <c r="C12" s="6">
        <f t="shared" si="1"/>
        <v>1.6312499999999999</v>
      </c>
      <c r="D12" s="6">
        <f t="shared" si="37"/>
        <v>0</v>
      </c>
      <c r="E12" s="6">
        <f t="shared" si="2"/>
        <v>0.13793103448275862</v>
      </c>
      <c r="F12" s="6">
        <f t="shared" si="38"/>
        <v>0</v>
      </c>
      <c r="G12" s="6">
        <f t="shared" si="3"/>
        <v>6.8965517241379309E-2</v>
      </c>
      <c r="H12" s="6">
        <f t="shared" si="39"/>
        <v>-25.745967741935484</v>
      </c>
      <c r="I12" s="6">
        <f t="shared" si="4"/>
        <v>26.1</v>
      </c>
      <c r="J12" s="6">
        <f t="shared" si="40"/>
        <v>27.28572033141554</v>
      </c>
      <c r="K12" s="6">
        <f t="shared" si="5"/>
        <v>0.24521072796934865</v>
      </c>
      <c r="L12" s="6">
        <f t="shared" si="41"/>
        <v>-26.630979938271611</v>
      </c>
      <c r="M12" s="6">
        <f t="shared" si="6"/>
        <v>8.0459770114942528E-2</v>
      </c>
      <c r="N12" s="6">
        <f t="shared" si="42"/>
        <v>-16.031746031746032</v>
      </c>
      <c r="O12" s="6">
        <f t="shared" si="7"/>
        <v>3.4342105263157894</v>
      </c>
      <c r="P12" s="6">
        <f t="shared" si="43"/>
        <v>0</v>
      </c>
      <c r="Q12" s="6">
        <f t="shared" si="8"/>
        <v>7.1428571428571432</v>
      </c>
      <c r="R12" s="6">
        <f t="shared" si="44"/>
        <v>14.567273817885507</v>
      </c>
      <c r="S12" s="6">
        <f t="shared" si="9"/>
        <v>1.607142857142857</v>
      </c>
      <c r="T12" s="6">
        <f t="shared" si="45"/>
        <v>0</v>
      </c>
      <c r="U12" s="6">
        <f t="shared" si="10"/>
        <v>0.80357142857142849</v>
      </c>
      <c r="V12" s="6">
        <f t="shared" si="46"/>
        <v>0</v>
      </c>
      <c r="W12" s="6">
        <f t="shared" si="11"/>
        <v>2.2400000000000002</v>
      </c>
      <c r="X12" s="6">
        <f t="shared" si="47"/>
        <v>16.813530083688836</v>
      </c>
      <c r="Y12" s="6">
        <f t="shared" si="12"/>
        <v>2.8571428571428568</v>
      </c>
      <c r="Z12" s="6">
        <f t="shared" si="48"/>
        <v>0</v>
      </c>
      <c r="AA12" s="6">
        <f t="shared" si="13"/>
        <v>0.93749999999999989</v>
      </c>
      <c r="AB12" s="6">
        <f t="shared" si="49"/>
        <v>0</v>
      </c>
      <c r="AC12" s="6">
        <f t="shared" si="14"/>
        <v>0.29473684210526319</v>
      </c>
      <c r="AD12" s="6">
        <f t="shared" si="50"/>
        <v>-24.507389162561566</v>
      </c>
      <c r="AE12" s="6">
        <f t="shared" si="15"/>
        <v>0.22499999999999998</v>
      </c>
      <c r="AF12" s="6">
        <f t="shared" si="51"/>
        <v>0</v>
      </c>
      <c r="AG12" s="6">
        <f t="shared" si="16"/>
        <v>0.11249999999999999</v>
      </c>
      <c r="AH12" s="6">
        <f t="shared" si="52"/>
        <v>0</v>
      </c>
      <c r="AI12" s="6">
        <f t="shared" si="17"/>
        <v>16</v>
      </c>
      <c r="AJ12" s="6">
        <f t="shared" si="53"/>
        <v>35.649647104503408</v>
      </c>
      <c r="AK12" s="6">
        <f t="shared" si="18"/>
        <v>0.4</v>
      </c>
      <c r="AL12" s="6">
        <f t="shared" si="54"/>
        <v>-17.201834862385322</v>
      </c>
      <c r="AM12" s="6">
        <f t="shared" si="19"/>
        <v>0.13125000000000001</v>
      </c>
      <c r="AN12" s="6">
        <f t="shared" si="55"/>
        <v>0</v>
      </c>
      <c r="AO12" s="6">
        <f t="shared" si="20"/>
        <v>0.47499999999999998</v>
      </c>
      <c r="AP12" s="6">
        <f t="shared" si="56"/>
        <v>11.779998375172635</v>
      </c>
      <c r="AQ12" s="6">
        <f t="shared" si="21"/>
        <v>2</v>
      </c>
      <c r="AR12" s="6">
        <f t="shared" si="57"/>
        <v>16.486073606243149</v>
      </c>
      <c r="AS12" s="6">
        <f t="shared" si="22"/>
        <v>3.6</v>
      </c>
      <c r="AT12" s="6">
        <f t="shared" si="58"/>
        <v>19.266265668763484</v>
      </c>
      <c r="AU12" s="6">
        <f t="shared" si="23"/>
        <v>1.7777777777777777</v>
      </c>
      <c r="AV12" s="6">
        <f t="shared" si="59"/>
        <v>-13.607414448669207</v>
      </c>
      <c r="AW12" s="6">
        <f t="shared" si="24"/>
        <v>1.7142857142857142</v>
      </c>
      <c r="AX12" s="6">
        <f t="shared" si="60"/>
        <v>0</v>
      </c>
      <c r="AY12" s="1">
        <f t="shared" si="25"/>
        <v>0.47368421052631576</v>
      </c>
      <c r="AZ12" s="6">
        <f t="shared" si="61"/>
        <v>0</v>
      </c>
      <c r="BA12" s="6">
        <f t="shared" si="26"/>
        <v>1.8</v>
      </c>
      <c r="BB12" s="6">
        <f t="shared" si="62"/>
        <v>0</v>
      </c>
      <c r="BC12" s="6">
        <f t="shared" si="27"/>
        <v>0.28125</v>
      </c>
      <c r="BD12" s="6">
        <f t="shared" si="63"/>
        <v>0</v>
      </c>
      <c r="BE12" s="6">
        <f t="shared" si="28"/>
        <v>0.8571428571428571</v>
      </c>
      <c r="BF12" s="6">
        <f t="shared" si="64"/>
        <v>0</v>
      </c>
      <c r="BG12" s="6">
        <f t="shared" si="29"/>
        <v>0.23684210526315788</v>
      </c>
      <c r="BH12" s="6">
        <f t="shared" si="65"/>
        <v>-32.219531880548843</v>
      </c>
      <c r="BI12" s="6">
        <f t="shared" si="30"/>
        <v>6.4</v>
      </c>
      <c r="BJ12" s="6">
        <f t="shared" si="66"/>
        <v>14.151120076227857</v>
      </c>
      <c r="BK12" s="6">
        <f t="shared" si="31"/>
        <v>2.1</v>
      </c>
      <c r="BL12" s="6">
        <f t="shared" si="67"/>
        <v>14.600179694519319</v>
      </c>
      <c r="BM12" s="6">
        <f t="shared" si="32"/>
        <v>0.13157894736842105</v>
      </c>
      <c r="BN12" s="6">
        <f t="shared" si="68"/>
        <v>0</v>
      </c>
      <c r="BO12" s="6">
        <f t="shared" si="33"/>
        <v>0.328125</v>
      </c>
      <c r="BP12" s="6">
        <f t="shared" si="69"/>
        <v>0</v>
      </c>
      <c r="BQ12" s="6">
        <f t="shared" si="34"/>
        <v>0.84210526315789469</v>
      </c>
      <c r="BR12" s="6">
        <f t="shared" si="70"/>
        <v>-26.448437500000011</v>
      </c>
      <c r="BS12" s="6">
        <f t="shared" si="35"/>
        <v>0.27631578947368424</v>
      </c>
      <c r="BT12" s="6">
        <f t="shared" si="71"/>
        <v>-23.094619666048235</v>
      </c>
      <c r="BU12" s="2">
        <f t="shared" si="72"/>
        <v>15.026681334436343</v>
      </c>
      <c r="BV12" s="2">
        <f t="shared" si="73"/>
        <v>-5.8475211911100384</v>
      </c>
      <c r="BW12" s="2">
        <f t="shared" si="74"/>
        <v>6.9548446762001994</v>
      </c>
      <c r="BX12" s="2">
        <f t="shared" si="75"/>
        <v>6.1699692154594796</v>
      </c>
      <c r="BY12" s="2">
        <f t="shared" si="76"/>
        <v>-9.3064466535909354</v>
      </c>
      <c r="BZ12" s="2">
        <f t="shared" si="77"/>
        <v>-8.7171933341372867</v>
      </c>
      <c r="CA12" s="2">
        <f t="shared" si="78"/>
        <v>-15.970807869889807</v>
      </c>
      <c r="CB12" s="2">
        <f t="shared" si="79"/>
        <v>-3.0657732504093684</v>
      </c>
      <c r="CC12" s="2">
        <f t="shared" si="80"/>
        <v>14.756247073041411</v>
      </c>
      <c r="CD12" s="2">
        <f t="shared" si="81"/>
        <v>85.81548459827485</v>
      </c>
    </row>
    <row r="13" spans="1:82" x14ac:dyDescent="0.2">
      <c r="A13" s="6">
        <f t="shared" si="0"/>
        <v>10.353356890459365</v>
      </c>
      <c r="B13" s="6">
        <f t="shared" si="36"/>
        <v>13.711657215075441</v>
      </c>
      <c r="C13" s="6">
        <f t="shared" si="1"/>
        <v>1.723529411764706</v>
      </c>
      <c r="D13" s="6">
        <f t="shared" si="37"/>
        <v>0</v>
      </c>
      <c r="E13" s="6">
        <f t="shared" si="2"/>
        <v>0.15017064846416381</v>
      </c>
      <c r="F13" s="6">
        <f t="shared" si="38"/>
        <v>0</v>
      </c>
      <c r="G13" s="6">
        <f t="shared" si="3"/>
        <v>4.778156996587031E-2</v>
      </c>
      <c r="H13" s="6">
        <f t="shared" si="39"/>
        <v>-55.037442396313367</v>
      </c>
      <c r="I13" s="6">
        <f t="shared" si="4"/>
        <v>12.739130434782609</v>
      </c>
      <c r="J13" s="6">
        <f t="shared" si="40"/>
        <v>0</v>
      </c>
      <c r="K13" s="6">
        <f t="shared" si="5"/>
        <v>0.22866894197952217</v>
      </c>
      <c r="L13" s="6">
        <f t="shared" si="41"/>
        <v>-33.022848719366131</v>
      </c>
      <c r="M13" s="6">
        <f t="shared" si="6"/>
        <v>7.1672354948805458E-2</v>
      </c>
      <c r="N13" s="6">
        <f t="shared" si="42"/>
        <v>-24.189514189514192</v>
      </c>
      <c r="O13" s="6">
        <f t="shared" si="7"/>
        <v>4.725806451612903</v>
      </c>
      <c r="P13" s="6">
        <f t="shared" si="43"/>
        <v>0</v>
      </c>
      <c r="Q13" s="6">
        <f t="shared" si="8"/>
        <v>6.0070671378091873</v>
      </c>
      <c r="R13" s="6">
        <f t="shared" si="44"/>
        <v>0</v>
      </c>
      <c r="S13" s="6">
        <f t="shared" si="9"/>
        <v>1.5547703180212016</v>
      </c>
      <c r="T13" s="6">
        <f t="shared" si="45"/>
        <v>0</v>
      </c>
      <c r="U13" s="6">
        <f t="shared" si="10"/>
        <v>0.49469964664310961</v>
      </c>
      <c r="V13" s="6">
        <f t="shared" si="46"/>
        <v>-34.224419179436467</v>
      </c>
      <c r="W13" s="6">
        <f t="shared" si="11"/>
        <v>1.2304347826086954</v>
      </c>
      <c r="X13" s="6">
        <f t="shared" si="47"/>
        <v>0</v>
      </c>
      <c r="Y13" s="6">
        <f t="shared" si="12"/>
        <v>2.3674911660777389</v>
      </c>
      <c r="Z13" s="6">
        <f t="shared" si="48"/>
        <v>-13.252611940298497</v>
      </c>
      <c r="AA13" s="6">
        <f t="shared" si="13"/>
        <v>0.74204946996466437</v>
      </c>
      <c r="AB13" s="6">
        <f t="shared" si="49"/>
        <v>0</v>
      </c>
      <c r="AC13" s="6">
        <f t="shared" si="14"/>
        <v>0.45645161290322572</v>
      </c>
      <c r="AD13" s="6">
        <f t="shared" si="50"/>
        <v>0</v>
      </c>
      <c r="AE13" s="6">
        <f t="shared" si="15"/>
        <v>0.25882352941176473</v>
      </c>
      <c r="AF13" s="6">
        <f t="shared" si="51"/>
        <v>0</v>
      </c>
      <c r="AG13" s="6">
        <f t="shared" si="16"/>
        <v>8.2352941176470601E-2</v>
      </c>
      <c r="AH13" s="6">
        <f t="shared" si="52"/>
        <v>-30.698611733094488</v>
      </c>
      <c r="AI13" s="6">
        <f t="shared" si="17"/>
        <v>7.3913043478260869</v>
      </c>
      <c r="AJ13" s="6">
        <f t="shared" si="53"/>
        <v>0</v>
      </c>
      <c r="AK13" s="6">
        <f t="shared" si="18"/>
        <v>0.39411764705882352</v>
      </c>
      <c r="AL13" s="6">
        <f t="shared" si="54"/>
        <v>-18.143228810078057</v>
      </c>
      <c r="AM13" s="6">
        <f t="shared" si="19"/>
        <v>0.12352941176470589</v>
      </c>
      <c r="AN13" s="6">
        <f t="shared" si="55"/>
        <v>0</v>
      </c>
      <c r="AO13" s="6">
        <f t="shared" si="20"/>
        <v>0.36470588235294121</v>
      </c>
      <c r="AP13" s="6">
        <f t="shared" si="56"/>
        <v>0</v>
      </c>
      <c r="AQ13" s="6">
        <f t="shared" si="21"/>
        <v>3.1428571428571428</v>
      </c>
      <c r="AR13" s="6">
        <f t="shared" si="57"/>
        <v>46.535877399805514</v>
      </c>
      <c r="AS13" s="6">
        <f t="shared" si="22"/>
        <v>1.9130434782608696</v>
      </c>
      <c r="AT13" s="6">
        <f t="shared" si="58"/>
        <v>0</v>
      </c>
      <c r="AU13" s="6">
        <f t="shared" si="23"/>
        <v>1.5227272727272727</v>
      </c>
      <c r="AV13" s="6">
        <f t="shared" si="59"/>
        <v>-22.25526360592475</v>
      </c>
      <c r="AW13" s="6">
        <f t="shared" si="24"/>
        <v>2.0952380952380953</v>
      </c>
      <c r="AX13" s="6">
        <f t="shared" si="60"/>
        <v>15.64552300012811</v>
      </c>
      <c r="AY13" s="1">
        <f t="shared" si="25"/>
        <v>0.70967741935483875</v>
      </c>
      <c r="AZ13" s="6">
        <f t="shared" si="61"/>
        <v>0</v>
      </c>
      <c r="BA13" s="6">
        <f t="shared" si="26"/>
        <v>0.60869565217391308</v>
      </c>
      <c r="BB13" s="6">
        <f t="shared" si="62"/>
        <v>0</v>
      </c>
      <c r="BC13" s="6">
        <f t="shared" si="27"/>
        <v>0.20895522388059704</v>
      </c>
      <c r="BD13" s="6">
        <f t="shared" si="63"/>
        <v>-20.517857142857142</v>
      </c>
      <c r="BE13" s="6">
        <f t="shared" si="28"/>
        <v>0.66666666666666674</v>
      </c>
      <c r="BF13" s="6">
        <f t="shared" si="64"/>
        <v>-22.491349480968857</v>
      </c>
      <c r="BG13" s="6">
        <f t="shared" si="29"/>
        <v>0.22580645161290325</v>
      </c>
      <c r="BH13" s="6">
        <f t="shared" si="65"/>
        <v>-34.97751643030093</v>
      </c>
      <c r="BI13" s="6">
        <f t="shared" si="30"/>
        <v>2.9130434782608696</v>
      </c>
      <c r="BJ13" s="6">
        <f t="shared" si="66"/>
        <v>0</v>
      </c>
      <c r="BK13" s="6">
        <f t="shared" si="31"/>
        <v>0.91304347826086951</v>
      </c>
      <c r="BL13" s="6">
        <f t="shared" si="67"/>
        <v>0</v>
      </c>
      <c r="BM13" s="6">
        <f t="shared" si="32"/>
        <v>0.37096774193548387</v>
      </c>
      <c r="BN13" s="6">
        <f t="shared" si="68"/>
        <v>0</v>
      </c>
      <c r="BO13" s="6">
        <f t="shared" si="33"/>
        <v>0.31343283582089554</v>
      </c>
      <c r="BP13" s="6">
        <f t="shared" si="69"/>
        <v>0</v>
      </c>
      <c r="BQ13" s="6">
        <f t="shared" si="34"/>
        <v>1.0806451612903225</v>
      </c>
      <c r="BR13" s="6">
        <f t="shared" si="70"/>
        <v>0</v>
      </c>
      <c r="BS13" s="6">
        <f t="shared" si="35"/>
        <v>0.33870967741935482</v>
      </c>
      <c r="BT13" s="6">
        <f t="shared" si="71"/>
        <v>0</v>
      </c>
      <c r="BU13" s="2">
        <f t="shared" si="72"/>
        <v>15.74518281503364</v>
      </c>
      <c r="BV13" s="2">
        <f t="shared" si="73"/>
        <v>4.2206717380824408</v>
      </c>
      <c r="BW13" s="2">
        <f t="shared" si="74"/>
        <v>6.1052300678965681</v>
      </c>
      <c r="BX13" s="2">
        <f t="shared" si="75"/>
        <v>10.554583000732297</v>
      </c>
      <c r="BY13" s="2">
        <f t="shared" si="76"/>
        <v>-30.560384220347096</v>
      </c>
      <c r="BZ13" s="2">
        <f t="shared" si="77"/>
        <v>-8.2695119916012878</v>
      </c>
      <c r="CA13" s="2">
        <f t="shared" si="78"/>
        <v>0</v>
      </c>
      <c r="CB13" s="2">
        <f t="shared" si="79"/>
        <v>-2.1679609635841803</v>
      </c>
      <c r="CC13" s="2">
        <f t="shared" si="80"/>
        <v>4.3721895537876163</v>
      </c>
      <c r="CD13" s="2">
        <f t="shared" si="81"/>
        <v>81.995714351065132</v>
      </c>
    </row>
    <row r="14" spans="1:82" x14ac:dyDescent="0.2">
      <c r="A14" s="6">
        <f t="shared" si="0"/>
        <v>8.615384615384615</v>
      </c>
      <c r="B14" s="6">
        <f t="shared" si="36"/>
        <v>0</v>
      </c>
      <c r="C14" s="6">
        <f t="shared" si="1"/>
        <v>1.5999999999999999</v>
      </c>
      <c r="D14" s="6">
        <f t="shared" si="37"/>
        <v>0</v>
      </c>
      <c r="E14" s="6">
        <f t="shared" si="2"/>
        <v>0.18214285714285716</v>
      </c>
      <c r="F14" s="6">
        <f t="shared" si="38"/>
        <v>0</v>
      </c>
      <c r="G14" s="6">
        <f t="shared" si="3"/>
        <v>6.0714285714285721E-2</v>
      </c>
      <c r="H14" s="6">
        <f t="shared" si="39"/>
        <v>-34.724857685009482</v>
      </c>
      <c r="I14" s="6">
        <f t="shared" si="4"/>
        <v>3.5897435897435899</v>
      </c>
      <c r="J14" s="6">
        <f t="shared" si="40"/>
        <v>-24.867127496159753</v>
      </c>
      <c r="K14" s="6">
        <f t="shared" si="5"/>
        <v>0.22500000000000001</v>
      </c>
      <c r="L14" s="6">
        <f t="shared" si="41"/>
        <v>-34.567901234567891</v>
      </c>
      <c r="M14" s="6">
        <f t="shared" si="6"/>
        <v>7.4999999999999997E-2</v>
      </c>
      <c r="N14" s="6">
        <f t="shared" si="42"/>
        <v>-20.875420875420875</v>
      </c>
      <c r="O14" s="6">
        <f t="shared" si="7"/>
        <v>5.0909090909090908</v>
      </c>
      <c r="P14" s="6">
        <f t="shared" si="43"/>
        <v>0</v>
      </c>
      <c r="Q14" s="6">
        <f t="shared" si="8"/>
        <v>5.3846153846153841</v>
      </c>
      <c r="R14" s="6">
        <f t="shared" si="44"/>
        <v>0</v>
      </c>
      <c r="S14" s="6">
        <f t="shared" si="9"/>
        <v>1.5692307692307692</v>
      </c>
      <c r="T14" s="6">
        <f t="shared" si="45"/>
        <v>0</v>
      </c>
      <c r="U14" s="6">
        <f t="shared" si="10"/>
        <v>0.52307692307692311</v>
      </c>
      <c r="V14" s="6">
        <f t="shared" si="46"/>
        <v>-30.490535314471806</v>
      </c>
      <c r="W14" s="6">
        <f t="shared" si="11"/>
        <v>0.41666666666666669</v>
      </c>
      <c r="X14" s="6">
        <f t="shared" si="47"/>
        <v>0</v>
      </c>
      <c r="Y14" s="6">
        <f t="shared" si="12"/>
        <v>1.9384615384615385</v>
      </c>
      <c r="Z14" s="6">
        <f t="shared" si="48"/>
        <v>-27.25198412698413</v>
      </c>
      <c r="AA14" s="6">
        <f t="shared" si="13"/>
        <v>0.64615384615384619</v>
      </c>
      <c r="AB14" s="6">
        <f t="shared" si="49"/>
        <v>-17.026810724289714</v>
      </c>
      <c r="AC14" s="6">
        <f t="shared" si="14"/>
        <v>0.59090909090909094</v>
      </c>
      <c r="AD14" s="6">
        <f t="shared" si="50"/>
        <v>0</v>
      </c>
      <c r="AE14" s="6">
        <f t="shared" si="15"/>
        <v>0.29142857142857143</v>
      </c>
      <c r="AF14" s="6">
        <f t="shared" si="51"/>
        <v>11.012018054271579</v>
      </c>
      <c r="AG14" s="6">
        <f t="shared" si="16"/>
        <v>9.7142857142857156E-2</v>
      </c>
      <c r="AH14" s="6">
        <f t="shared" si="52"/>
        <v>-21.252074497510598</v>
      </c>
      <c r="AI14" s="6">
        <f t="shared" si="17"/>
        <v>2.2435897435897436</v>
      </c>
      <c r="AJ14" s="6">
        <f t="shared" si="53"/>
        <v>0</v>
      </c>
      <c r="AK14" s="6">
        <f t="shared" si="18"/>
        <v>0.36</v>
      </c>
      <c r="AL14" s="6">
        <f t="shared" si="54"/>
        <v>-24.209989806320088</v>
      </c>
      <c r="AM14" s="6">
        <f t="shared" si="19"/>
        <v>0.12</v>
      </c>
      <c r="AN14" s="6">
        <f t="shared" si="55"/>
        <v>0</v>
      </c>
      <c r="AO14" s="6">
        <f t="shared" si="20"/>
        <v>0.31428571428571428</v>
      </c>
      <c r="AP14" s="6">
        <f t="shared" si="56"/>
        <v>0</v>
      </c>
      <c r="AQ14" s="6">
        <f t="shared" si="21"/>
        <v>3</v>
      </c>
      <c r="AR14" s="6">
        <f t="shared" si="57"/>
        <v>42.779651925610217</v>
      </c>
      <c r="AS14" s="6">
        <f t="shared" si="22"/>
        <v>0.65384615384615385</v>
      </c>
      <c r="AT14" s="6">
        <f t="shared" si="58"/>
        <v>0</v>
      </c>
      <c r="AU14" s="6">
        <f t="shared" si="23"/>
        <v>1.2352941176470589</v>
      </c>
      <c r="AV14" s="6">
        <f t="shared" si="59"/>
        <v>-36.281006699257652</v>
      </c>
      <c r="AW14" s="6">
        <f t="shared" si="24"/>
        <v>2.4285714285714284</v>
      </c>
      <c r="AX14" s="6">
        <f t="shared" si="60"/>
        <v>24.026839369677109</v>
      </c>
      <c r="AY14" s="1">
        <f t="shared" si="25"/>
        <v>0.92727272727272725</v>
      </c>
      <c r="AZ14" s="6">
        <f t="shared" si="61"/>
        <v>0</v>
      </c>
      <c r="BA14" s="6">
        <f t="shared" si="26"/>
        <v>0.21794871794871795</v>
      </c>
      <c r="BB14" s="6">
        <f t="shared" si="62"/>
        <v>-54.28724216959511</v>
      </c>
      <c r="BC14" s="6">
        <f t="shared" si="27"/>
        <v>0.26984126984126983</v>
      </c>
      <c r="BD14" s="6">
        <f t="shared" si="63"/>
        <v>0</v>
      </c>
      <c r="BE14" s="6">
        <f t="shared" si="28"/>
        <v>0.80952380952380953</v>
      </c>
      <c r="BF14" s="6">
        <f t="shared" si="64"/>
        <v>0</v>
      </c>
      <c r="BG14" s="6">
        <f t="shared" si="29"/>
        <v>0.30909090909090914</v>
      </c>
      <c r="BH14" s="6">
        <f t="shared" si="65"/>
        <v>-19.028628400512744</v>
      </c>
      <c r="BI14" s="6">
        <f t="shared" si="30"/>
        <v>0.80769230769230771</v>
      </c>
      <c r="BJ14" s="6">
        <f t="shared" si="66"/>
        <v>-46.579041873159525</v>
      </c>
      <c r="BK14" s="6">
        <f t="shared" si="31"/>
        <v>0.26923076923076922</v>
      </c>
      <c r="BL14" s="6">
        <f t="shared" si="67"/>
        <v>0</v>
      </c>
      <c r="BM14" s="6">
        <f t="shared" si="32"/>
        <v>1.4181818181818182</v>
      </c>
      <c r="BN14" s="6">
        <f t="shared" si="68"/>
        <v>0</v>
      </c>
      <c r="BO14" s="6">
        <f t="shared" si="33"/>
        <v>0.33333333333333331</v>
      </c>
      <c r="BP14" s="6">
        <f t="shared" si="69"/>
        <v>0</v>
      </c>
      <c r="BQ14" s="6">
        <f t="shared" si="34"/>
        <v>1.1454545454545455</v>
      </c>
      <c r="BR14" s="6">
        <f t="shared" si="70"/>
        <v>0</v>
      </c>
      <c r="BS14" s="6">
        <f t="shared" si="35"/>
        <v>0.38181818181818183</v>
      </c>
      <c r="BT14" s="6">
        <f t="shared" si="71"/>
        <v>0</v>
      </c>
      <c r="BU14" s="2">
        <f t="shared" si="72"/>
        <v>8.1626315373548124</v>
      </c>
      <c r="BV14" s="2">
        <f t="shared" si="73"/>
        <v>9.3461662707182072</v>
      </c>
      <c r="BW14" s="2">
        <f t="shared" si="74"/>
        <v>4.3062557811948885</v>
      </c>
      <c r="BX14" s="2">
        <f t="shared" si="75"/>
        <v>14.262439506102069</v>
      </c>
      <c r="BY14" s="2">
        <f t="shared" si="76"/>
        <v>-25.320373749088745</v>
      </c>
      <c r="BZ14" s="2">
        <f t="shared" si="77"/>
        <v>-21.111240467536163</v>
      </c>
      <c r="CA14" s="2">
        <f t="shared" si="78"/>
        <v>15.7166764423643</v>
      </c>
      <c r="CB14" s="2">
        <f t="shared" si="79"/>
        <v>-7.7411338711734619</v>
      </c>
      <c r="CC14" s="2">
        <f t="shared" si="80"/>
        <v>2.378578550064093</v>
      </c>
      <c r="CD14" s="2">
        <f t="shared" si="81"/>
        <v>108.34549617559674</v>
      </c>
    </row>
    <row r="15" spans="1:82" x14ac:dyDescent="0.2">
      <c r="A15" s="6">
        <f t="shared" si="0"/>
        <v>9.6678966789667893</v>
      </c>
      <c r="B15" s="6">
        <f t="shared" si="36"/>
        <v>0</v>
      </c>
      <c r="C15" s="6">
        <f t="shared" si="1"/>
        <v>1.6903225806451614</v>
      </c>
      <c r="D15" s="6">
        <f t="shared" si="37"/>
        <v>0</v>
      </c>
      <c r="E15" s="6">
        <f t="shared" si="2"/>
        <v>0.17557251908396945</v>
      </c>
      <c r="F15" s="6">
        <f t="shared" si="38"/>
        <v>0</v>
      </c>
      <c r="G15" s="6">
        <f t="shared" si="3"/>
        <v>7.2519083969465645E-2</v>
      </c>
      <c r="H15" s="6">
        <f t="shared" si="39"/>
        <v>-22.508488964346359</v>
      </c>
      <c r="I15" s="6">
        <f t="shared" si="4"/>
        <v>9.7037037037037042</v>
      </c>
      <c r="J15" s="6">
        <f t="shared" si="40"/>
        <v>0</v>
      </c>
      <c r="K15" s="6">
        <f t="shared" si="5"/>
        <v>0.22137404580152673</v>
      </c>
      <c r="L15" s="6">
        <f t="shared" si="41"/>
        <v>-36.1451681566624</v>
      </c>
      <c r="M15" s="6">
        <f t="shared" si="6"/>
        <v>7.2519083969465645E-2</v>
      </c>
      <c r="N15" s="6">
        <f t="shared" si="42"/>
        <v>-23.317384370015954</v>
      </c>
      <c r="O15" s="6">
        <f t="shared" si="7"/>
        <v>7.4857142857142867</v>
      </c>
      <c r="P15" s="6">
        <f t="shared" si="43"/>
        <v>13.202704348128036</v>
      </c>
      <c r="Q15" s="6">
        <f t="shared" si="8"/>
        <v>5.7195571955719551</v>
      </c>
      <c r="R15" s="6">
        <f t="shared" si="44"/>
        <v>0</v>
      </c>
      <c r="S15" s="6">
        <f t="shared" si="9"/>
        <v>1.6974169741697416</v>
      </c>
      <c r="T15" s="6">
        <f t="shared" si="45"/>
        <v>10.969689468240849</v>
      </c>
      <c r="U15" s="6">
        <f t="shared" si="10"/>
        <v>0.70110701107011064</v>
      </c>
      <c r="V15" s="6">
        <f t="shared" si="46"/>
        <v>0</v>
      </c>
      <c r="W15" s="6">
        <f t="shared" si="11"/>
        <v>1.0037037037037038</v>
      </c>
      <c r="X15" s="6">
        <f t="shared" si="47"/>
        <v>0</v>
      </c>
      <c r="Y15" s="6">
        <f t="shared" si="12"/>
        <v>2.140221402214022</v>
      </c>
      <c r="Z15" s="6">
        <f t="shared" si="48"/>
        <v>-19.969396551724138</v>
      </c>
      <c r="AA15" s="6">
        <f t="shared" si="13"/>
        <v>0.70110701107011064</v>
      </c>
      <c r="AB15" s="6">
        <f t="shared" si="49"/>
        <v>0</v>
      </c>
      <c r="AC15" s="6">
        <f t="shared" si="14"/>
        <v>0.77428571428571424</v>
      </c>
      <c r="AD15" s="6">
        <f t="shared" si="50"/>
        <v>0</v>
      </c>
      <c r="AE15" s="6">
        <f t="shared" si="15"/>
        <v>0.29677419354838708</v>
      </c>
      <c r="AF15" s="6">
        <f t="shared" si="51"/>
        <v>11.859883509133846</v>
      </c>
      <c r="AG15" s="6">
        <f t="shared" si="16"/>
        <v>0.12258064516129032</v>
      </c>
      <c r="AH15" s="6">
        <f t="shared" si="52"/>
        <v>0</v>
      </c>
      <c r="AI15" s="6">
        <f t="shared" si="17"/>
        <v>5.7407407407407405</v>
      </c>
      <c r="AJ15" s="6">
        <f t="shared" si="53"/>
        <v>0</v>
      </c>
      <c r="AK15" s="6">
        <f t="shared" si="18"/>
        <v>0.37419354838709679</v>
      </c>
      <c r="AL15" s="6">
        <f t="shared" si="54"/>
        <v>-21.551724137931036</v>
      </c>
      <c r="AM15" s="6">
        <f t="shared" si="19"/>
        <v>0.12258064516129032</v>
      </c>
      <c r="AN15" s="6">
        <f t="shared" si="55"/>
        <v>0</v>
      </c>
      <c r="AO15" s="6">
        <f t="shared" si="20"/>
        <v>0.22580645161290322</v>
      </c>
      <c r="AP15" s="6">
        <f t="shared" si="56"/>
        <v>0</v>
      </c>
      <c r="AQ15" s="6">
        <f t="shared" si="21"/>
        <v>2.4210526315789473</v>
      </c>
      <c r="AR15" s="6">
        <f t="shared" si="57"/>
        <v>27.557053951239805</v>
      </c>
      <c r="AS15" s="6">
        <f t="shared" si="22"/>
        <v>1.7037037037037037</v>
      </c>
      <c r="AT15" s="6">
        <f t="shared" si="58"/>
        <v>0</v>
      </c>
      <c r="AU15" s="6">
        <f t="shared" si="23"/>
        <v>1.2608695652173914</v>
      </c>
      <c r="AV15" s="6">
        <f t="shared" si="59"/>
        <v>-34.773829815130462</v>
      </c>
      <c r="AW15" s="6">
        <f t="shared" si="24"/>
        <v>2.4210526315789473</v>
      </c>
      <c r="AX15" s="6">
        <f t="shared" si="60"/>
        <v>23.837787120739915</v>
      </c>
      <c r="AY15" s="1">
        <f t="shared" si="25"/>
        <v>1.3142857142857145</v>
      </c>
      <c r="AZ15" s="6">
        <f t="shared" si="61"/>
        <v>17.635105457842446</v>
      </c>
      <c r="BA15" s="6">
        <f t="shared" si="26"/>
        <v>0.70370370370370372</v>
      </c>
      <c r="BB15" s="6">
        <f t="shared" si="62"/>
        <v>0</v>
      </c>
      <c r="BC15" s="6">
        <f t="shared" si="27"/>
        <v>0.32758620689655171</v>
      </c>
      <c r="BD15" s="6">
        <f t="shared" si="63"/>
        <v>0</v>
      </c>
      <c r="BE15" s="6">
        <f t="shared" si="28"/>
        <v>1</v>
      </c>
      <c r="BF15" s="6">
        <f t="shared" si="64"/>
        <v>0</v>
      </c>
      <c r="BG15" s="6">
        <f t="shared" si="29"/>
        <v>0.54285714285714282</v>
      </c>
      <c r="BH15" s="6">
        <f t="shared" si="65"/>
        <v>0</v>
      </c>
      <c r="BI15" s="6">
        <f t="shared" si="30"/>
        <v>2.1481481481481484</v>
      </c>
      <c r="BJ15" s="6">
        <f t="shared" si="66"/>
        <v>0</v>
      </c>
      <c r="BK15" s="6">
        <f t="shared" si="31"/>
        <v>0.70370370370370372</v>
      </c>
      <c r="BL15" s="6">
        <f t="shared" si="67"/>
        <v>0</v>
      </c>
      <c r="BM15" s="6">
        <f t="shared" si="32"/>
        <v>0.77142857142857146</v>
      </c>
      <c r="BN15" s="6">
        <f t="shared" si="68"/>
        <v>0</v>
      </c>
      <c r="BO15" s="6">
        <f t="shared" si="33"/>
        <v>0.32758620689655171</v>
      </c>
      <c r="BP15" s="6">
        <f t="shared" si="69"/>
        <v>0</v>
      </c>
      <c r="BQ15" s="6">
        <f t="shared" si="34"/>
        <v>1.6571428571428573</v>
      </c>
      <c r="BR15" s="6">
        <f t="shared" si="70"/>
        <v>0</v>
      </c>
      <c r="BS15" s="6">
        <f t="shared" si="35"/>
        <v>0.54285714285714282</v>
      </c>
      <c r="BT15" s="6">
        <f t="shared" si="71"/>
        <v>0</v>
      </c>
      <c r="BU15" s="2">
        <f t="shared" si="72"/>
        <v>11.896718229894095</v>
      </c>
      <c r="BV15" s="2">
        <f t="shared" si="73"/>
        <v>1.1249633854354111</v>
      </c>
      <c r="BW15" s="2">
        <f t="shared" si="74"/>
        <v>1.2114800785996487</v>
      </c>
      <c r="BX15" s="2">
        <f t="shared" si="75"/>
        <v>15.829168665290915</v>
      </c>
      <c r="BY15" s="2">
        <f t="shared" si="76"/>
        <v>-6.2581928644482705</v>
      </c>
      <c r="BZ15" s="2">
        <f t="shared" si="77"/>
        <v>-14.055014832681003</v>
      </c>
      <c r="CA15" s="2">
        <f t="shared" si="78"/>
        <v>0</v>
      </c>
      <c r="CB15" s="2">
        <f t="shared" si="79"/>
        <v>-5.8943964363444836</v>
      </c>
      <c r="CC15" s="2">
        <f t="shared" si="80"/>
        <v>-3.85472622574631</v>
      </c>
      <c r="CD15" s="2">
        <f t="shared" si="81"/>
        <v>60.12466071844014</v>
      </c>
    </row>
    <row r="16" spans="1:82" x14ac:dyDescent="0.2">
      <c r="A16" s="6">
        <f t="shared" si="0"/>
        <v>10.833333333333334</v>
      </c>
      <c r="B16" s="6">
        <f t="shared" si="36"/>
        <v>17.706706796689733</v>
      </c>
      <c r="C16" s="6">
        <f t="shared" si="1"/>
        <v>1.625</v>
      </c>
      <c r="D16" s="6">
        <f t="shared" si="37"/>
        <v>0</v>
      </c>
      <c r="E16" s="6">
        <f t="shared" si="2"/>
        <v>0.22672064777327935</v>
      </c>
      <c r="F16" s="6">
        <f t="shared" si="38"/>
        <v>23.653832242059032</v>
      </c>
      <c r="G16" s="6">
        <f t="shared" si="3"/>
        <v>0.10526315789473684</v>
      </c>
      <c r="H16" s="6">
        <f t="shared" si="39"/>
        <v>0</v>
      </c>
      <c r="I16" s="6">
        <f t="shared" si="4"/>
        <v>24.700000000000003</v>
      </c>
      <c r="J16" s="6">
        <f t="shared" si="40"/>
        <v>24.998157695091109</v>
      </c>
      <c r="K16" s="6">
        <f t="shared" si="5"/>
        <v>0.36842105263157893</v>
      </c>
      <c r="L16" s="6">
        <f t="shared" si="41"/>
        <v>0</v>
      </c>
      <c r="M16" s="6">
        <f t="shared" si="6"/>
        <v>0.11740890688259108</v>
      </c>
      <c r="N16" s="6">
        <f t="shared" si="42"/>
        <v>0</v>
      </c>
      <c r="O16" s="6">
        <f t="shared" si="7"/>
        <v>2.6847826086956528</v>
      </c>
      <c r="P16" s="6">
        <f t="shared" si="43"/>
        <v>-22.854197317411042</v>
      </c>
      <c r="Q16" s="6">
        <f t="shared" si="8"/>
        <v>6.6666666666666661</v>
      </c>
      <c r="R16" s="6">
        <f t="shared" si="44"/>
        <v>0</v>
      </c>
      <c r="S16" s="6">
        <f t="shared" si="9"/>
        <v>2.4561403508771931</v>
      </c>
      <c r="T16" s="6">
        <f t="shared" si="45"/>
        <v>32.677022203831292</v>
      </c>
      <c r="U16" s="6">
        <f t="shared" si="10"/>
        <v>1.1403508771929824</v>
      </c>
      <c r="V16" s="6">
        <f t="shared" si="46"/>
        <v>0</v>
      </c>
      <c r="W16" s="6">
        <f t="shared" si="11"/>
        <v>2.2800000000000002</v>
      </c>
      <c r="X16" s="6">
        <f t="shared" si="47"/>
        <v>17.396321421078394</v>
      </c>
      <c r="Y16" s="6">
        <f t="shared" si="12"/>
        <v>3.9912280701754383</v>
      </c>
      <c r="Z16" s="6">
        <f t="shared" si="48"/>
        <v>16.631520370207653</v>
      </c>
      <c r="AA16" s="6">
        <f t="shared" si="13"/>
        <v>1.2719298245614035</v>
      </c>
      <c r="AB16" s="6">
        <f t="shared" si="49"/>
        <v>16.840494602663693</v>
      </c>
      <c r="AC16" s="6">
        <f t="shared" si="14"/>
        <v>0.24782608695652178</v>
      </c>
      <c r="AD16" s="6">
        <f t="shared" si="50"/>
        <v>-33.808659579984429</v>
      </c>
      <c r="AE16" s="6">
        <f t="shared" si="15"/>
        <v>0.36842105263157898</v>
      </c>
      <c r="AF16" s="6">
        <f t="shared" si="51"/>
        <v>23.223742645536575</v>
      </c>
      <c r="AG16" s="6">
        <f t="shared" si="16"/>
        <v>0.17105263157894737</v>
      </c>
      <c r="AH16" s="6">
        <f t="shared" si="52"/>
        <v>0</v>
      </c>
      <c r="AI16" s="6">
        <f t="shared" si="17"/>
        <v>15.2</v>
      </c>
      <c r="AJ16" s="6">
        <f t="shared" si="53"/>
        <v>33.144621396677081</v>
      </c>
      <c r="AK16" s="6">
        <f t="shared" si="18"/>
        <v>0.59868421052631582</v>
      </c>
      <c r="AL16" s="6">
        <f t="shared" si="54"/>
        <v>0</v>
      </c>
      <c r="AM16" s="6">
        <f t="shared" si="19"/>
        <v>0.19078947368421054</v>
      </c>
      <c r="AN16" s="6">
        <f t="shared" si="55"/>
        <v>0</v>
      </c>
      <c r="AO16" s="6">
        <f t="shared" si="20"/>
        <v>0.60526315789473684</v>
      </c>
      <c r="AP16" s="6">
        <f t="shared" si="56"/>
        <v>22.362755536171651</v>
      </c>
      <c r="AQ16" s="6">
        <f t="shared" si="21"/>
        <v>2.1538461538461542</v>
      </c>
      <c r="AR16" s="6">
        <f t="shared" si="57"/>
        <v>20.531239501530401</v>
      </c>
      <c r="AS16" s="6">
        <f t="shared" si="22"/>
        <v>5.6000000000000005</v>
      </c>
      <c r="AT16" s="6">
        <f t="shared" si="58"/>
        <v>37.632581844896464</v>
      </c>
      <c r="AU16" s="6">
        <f t="shared" si="23"/>
        <v>1.6249999999999998</v>
      </c>
      <c r="AV16" s="6">
        <f t="shared" si="59"/>
        <v>-18.461538461538478</v>
      </c>
      <c r="AW16" s="6">
        <f t="shared" si="24"/>
        <v>1.931034482758621</v>
      </c>
      <c r="AX16" s="6">
        <f t="shared" si="60"/>
        <v>11.516795724488219</v>
      </c>
      <c r="AY16" s="1">
        <f t="shared" si="25"/>
        <v>0.60869565217391319</v>
      </c>
      <c r="AZ16" s="6">
        <f t="shared" si="61"/>
        <v>0</v>
      </c>
      <c r="BA16" s="6">
        <f t="shared" si="26"/>
        <v>2.6</v>
      </c>
      <c r="BB16" s="6">
        <f t="shared" si="62"/>
        <v>16.921077151369449</v>
      </c>
      <c r="BC16" s="6">
        <f t="shared" si="27"/>
        <v>0.2857142857142857</v>
      </c>
      <c r="BD16" s="6">
        <f t="shared" si="63"/>
        <v>0</v>
      </c>
      <c r="BE16" s="6">
        <f t="shared" si="28"/>
        <v>0.89655172413793105</v>
      </c>
      <c r="BF16" s="6">
        <f t="shared" si="64"/>
        <v>0</v>
      </c>
      <c r="BG16" s="6">
        <f t="shared" si="29"/>
        <v>0.28260869565217395</v>
      </c>
      <c r="BH16" s="6">
        <f t="shared" si="65"/>
        <v>-23.080648165393924</v>
      </c>
      <c r="BI16" s="6">
        <f t="shared" si="30"/>
        <v>9.1</v>
      </c>
      <c r="BJ16" s="6">
        <f t="shared" si="66"/>
        <v>26.484246030332184</v>
      </c>
      <c r="BK16" s="6">
        <f t="shared" si="31"/>
        <v>2.9</v>
      </c>
      <c r="BL16" s="6">
        <f t="shared" si="67"/>
        <v>25.296282034826508</v>
      </c>
      <c r="BM16" s="6">
        <f t="shared" si="32"/>
        <v>0.10869565217391304</v>
      </c>
      <c r="BN16" s="6">
        <f t="shared" si="68"/>
        <v>0</v>
      </c>
      <c r="BO16" s="6">
        <f t="shared" si="33"/>
        <v>0.31868131868131866</v>
      </c>
      <c r="BP16" s="6">
        <f t="shared" si="69"/>
        <v>0</v>
      </c>
      <c r="BQ16" s="6">
        <f t="shared" si="34"/>
        <v>0.98913043478260865</v>
      </c>
      <c r="BR16" s="6">
        <f t="shared" si="70"/>
        <v>-18.801098901098907</v>
      </c>
      <c r="BS16" s="6">
        <f t="shared" si="35"/>
        <v>0.31521739130434784</v>
      </c>
      <c r="BT16" s="6">
        <f t="shared" si="71"/>
        <v>-17.038961038961038</v>
      </c>
      <c r="BU16" s="2">
        <f t="shared" si="72"/>
        <v>-0.47539563346115399</v>
      </c>
      <c r="BV16" s="2">
        <f t="shared" si="73"/>
        <v>-12.5335102665373</v>
      </c>
      <c r="BW16" s="2">
        <f t="shared" si="74"/>
        <v>-1.5552345981288931</v>
      </c>
      <c r="BX16" s="2">
        <f t="shared" si="75"/>
        <v>20.962094077985057</v>
      </c>
      <c r="BY16" s="2">
        <f t="shared" si="76"/>
        <v>-3.3363513144443595</v>
      </c>
      <c r="BZ16" s="2">
        <f t="shared" si="77"/>
        <v>0.73164112973780648</v>
      </c>
      <c r="CA16" s="2">
        <f t="shared" si="78"/>
        <v>-22.734160946783899</v>
      </c>
      <c r="CB16" s="2">
        <f t="shared" si="79"/>
        <v>1.697627484255118</v>
      </c>
      <c r="CC16" s="2">
        <f t="shared" si="80"/>
        <v>17.243290067377625</v>
      </c>
      <c r="CD16" s="2">
        <f t="shared" si="81"/>
        <v>81.269305518711221</v>
      </c>
    </row>
    <row r="17" spans="1:82" x14ac:dyDescent="0.2">
      <c r="A17" s="6">
        <f t="shared" si="0"/>
        <v>9.8850574712643677</v>
      </c>
      <c r="B17" s="6">
        <f t="shared" si="36"/>
        <v>0</v>
      </c>
      <c r="C17" s="6">
        <f t="shared" si="1"/>
        <v>1.6645161290322581</v>
      </c>
      <c r="D17" s="6">
        <f t="shared" si="37"/>
        <v>0</v>
      </c>
      <c r="E17" s="6">
        <f t="shared" si="2"/>
        <v>0.17829457364341086</v>
      </c>
      <c r="F17" s="6">
        <f t="shared" si="38"/>
        <v>0</v>
      </c>
      <c r="G17" s="6">
        <f t="shared" si="3"/>
        <v>8.5271317829457363E-2</v>
      </c>
      <c r="H17" s="6">
        <f t="shared" si="39"/>
        <v>0</v>
      </c>
      <c r="I17" s="6">
        <f t="shared" si="4"/>
        <v>23.454545454545453</v>
      </c>
      <c r="J17" s="6">
        <f t="shared" si="40"/>
        <v>22.963118206932354</v>
      </c>
      <c r="K17" s="6">
        <f t="shared" si="5"/>
        <v>0.25968992248062017</v>
      </c>
      <c r="L17" s="6">
        <f t="shared" si="41"/>
        <v>-21.704440759167124</v>
      </c>
      <c r="M17" s="6">
        <f t="shared" si="6"/>
        <v>8.1395348837209308E-2</v>
      </c>
      <c r="N17" s="6">
        <f t="shared" si="42"/>
        <v>-15.266955266955256</v>
      </c>
      <c r="O17" s="6">
        <f t="shared" si="7"/>
        <v>3.7941176470588238</v>
      </c>
      <c r="P17" s="6">
        <f t="shared" si="43"/>
        <v>0</v>
      </c>
      <c r="Q17" s="6">
        <f t="shared" si="8"/>
        <v>5.9386973180076632</v>
      </c>
      <c r="R17" s="6">
        <f t="shared" si="44"/>
        <v>0</v>
      </c>
      <c r="S17" s="6">
        <f t="shared" si="9"/>
        <v>1.7624521072796935</v>
      </c>
      <c r="T17" s="6">
        <f t="shared" si="45"/>
        <v>12.830366649491692</v>
      </c>
      <c r="U17" s="6">
        <f t="shared" si="10"/>
        <v>0.84291187739463602</v>
      </c>
      <c r="V17" s="6">
        <f t="shared" si="46"/>
        <v>0</v>
      </c>
      <c r="W17" s="6">
        <f t="shared" si="11"/>
        <v>2.372727272727273</v>
      </c>
      <c r="X17" s="6">
        <f t="shared" si="47"/>
        <v>18.747337703208743</v>
      </c>
      <c r="Y17" s="6">
        <f t="shared" si="12"/>
        <v>2.5670498084291187</v>
      </c>
      <c r="Z17" s="6">
        <f t="shared" si="48"/>
        <v>0</v>
      </c>
      <c r="AA17" s="6">
        <f t="shared" si="13"/>
        <v>0.80459770114942519</v>
      </c>
      <c r="AB17" s="6">
        <f t="shared" si="49"/>
        <v>0</v>
      </c>
      <c r="AC17" s="6">
        <f t="shared" si="14"/>
        <v>0.38382352941176479</v>
      </c>
      <c r="AD17" s="6">
        <f t="shared" si="50"/>
        <v>0</v>
      </c>
      <c r="AE17" s="6">
        <f t="shared" si="15"/>
        <v>0.29677419354838708</v>
      </c>
      <c r="AF17" s="6">
        <f t="shared" si="51"/>
        <v>11.859883509133846</v>
      </c>
      <c r="AG17" s="6">
        <f t="shared" si="16"/>
        <v>0.14193548387096774</v>
      </c>
      <c r="AH17" s="6">
        <f t="shared" si="52"/>
        <v>0</v>
      </c>
      <c r="AI17" s="6">
        <f t="shared" si="17"/>
        <v>14.090909090909092</v>
      </c>
      <c r="AJ17" s="6">
        <f t="shared" si="53"/>
        <v>29.671744847190581</v>
      </c>
      <c r="AK17" s="6">
        <f t="shared" si="18"/>
        <v>0.43225806451612903</v>
      </c>
      <c r="AL17" s="6">
        <f t="shared" si="54"/>
        <v>0</v>
      </c>
      <c r="AM17" s="6">
        <f t="shared" si="19"/>
        <v>0.13548387096774195</v>
      </c>
      <c r="AN17" s="6">
        <f t="shared" si="55"/>
        <v>0</v>
      </c>
      <c r="AO17" s="6">
        <f t="shared" si="20"/>
        <v>0.43870967741935485</v>
      </c>
      <c r="AP17" s="6">
        <f t="shared" si="56"/>
        <v>0</v>
      </c>
      <c r="AQ17" s="6">
        <f t="shared" si="21"/>
        <v>2.0909090909090908</v>
      </c>
      <c r="AR17" s="6">
        <f t="shared" si="57"/>
        <v>18.87639890800379</v>
      </c>
      <c r="AS17" s="6">
        <f t="shared" si="22"/>
        <v>4.1818181818181817</v>
      </c>
      <c r="AT17" s="6">
        <f t="shared" si="58"/>
        <v>24.60919401091126</v>
      </c>
      <c r="AU17" s="6">
        <f t="shared" si="23"/>
        <v>1.4565217391304348</v>
      </c>
      <c r="AV17" s="6">
        <f t="shared" si="59"/>
        <v>-24.995176210203734</v>
      </c>
      <c r="AW17" s="6">
        <f t="shared" si="24"/>
        <v>2.1904761904761907</v>
      </c>
      <c r="AX17" s="6">
        <f t="shared" si="60"/>
        <v>18.040184819999261</v>
      </c>
      <c r="AY17" s="1">
        <f t="shared" si="25"/>
        <v>0.67647058823529427</v>
      </c>
      <c r="AZ17" s="6">
        <f t="shared" si="61"/>
        <v>0</v>
      </c>
      <c r="BA17" s="6">
        <f t="shared" si="26"/>
        <v>2</v>
      </c>
      <c r="BB17" s="6">
        <f t="shared" si="62"/>
        <v>10.019210196358115</v>
      </c>
      <c r="BC17" s="6">
        <f t="shared" si="27"/>
        <v>0.32835820895522388</v>
      </c>
      <c r="BD17" s="6">
        <f t="shared" si="63"/>
        <v>0</v>
      </c>
      <c r="BE17" s="6">
        <f t="shared" si="28"/>
        <v>1.0476190476190477</v>
      </c>
      <c r="BF17" s="6">
        <f t="shared" si="64"/>
        <v>0</v>
      </c>
      <c r="BG17" s="6">
        <f t="shared" si="29"/>
        <v>0.3235294117647059</v>
      </c>
      <c r="BH17" s="6">
        <f t="shared" si="65"/>
        <v>-17.098833370019811</v>
      </c>
      <c r="BI17" s="6">
        <f t="shared" si="30"/>
        <v>6.0909090909090908</v>
      </c>
      <c r="BJ17" s="6">
        <f t="shared" si="66"/>
        <v>12.739247071380895</v>
      </c>
      <c r="BK17" s="6">
        <f t="shared" si="31"/>
        <v>1.9090909090909092</v>
      </c>
      <c r="BL17" s="6">
        <f t="shared" si="67"/>
        <v>12.047700726946012</v>
      </c>
      <c r="BM17" s="6">
        <f t="shared" si="32"/>
        <v>0.16176470588235295</v>
      </c>
      <c r="BN17" s="6">
        <f t="shared" si="68"/>
        <v>0</v>
      </c>
      <c r="BO17" s="6">
        <f t="shared" si="33"/>
        <v>0.31343283582089554</v>
      </c>
      <c r="BP17" s="6">
        <f t="shared" si="69"/>
        <v>0</v>
      </c>
      <c r="BQ17" s="6">
        <f t="shared" si="34"/>
        <v>0.98529411764705888</v>
      </c>
      <c r="BR17" s="6">
        <f t="shared" si="70"/>
        <v>-18.971641791044775</v>
      </c>
      <c r="BS17" s="6">
        <f t="shared" si="35"/>
        <v>0.30882352941176472</v>
      </c>
      <c r="BT17" s="6">
        <f t="shared" si="71"/>
        <v>-17.929499072356212</v>
      </c>
      <c r="BU17" s="2">
        <f t="shared" si="72"/>
        <v>7.4918142791318418</v>
      </c>
      <c r="BV17" s="2">
        <f t="shared" si="73"/>
        <v>0.73962138171463132</v>
      </c>
      <c r="BW17" s="2">
        <f t="shared" si="74"/>
        <v>2.2264826672570921</v>
      </c>
      <c r="BX17" s="2">
        <f t="shared" si="75"/>
        <v>13.901400513467948</v>
      </c>
      <c r="BY17" s="2">
        <f t="shared" si="76"/>
        <v>-3.244502760208186</v>
      </c>
      <c r="BZ17" s="2">
        <f t="shared" si="77"/>
        <v>-6.6165014611293422</v>
      </c>
      <c r="CA17" s="2">
        <f t="shared" si="78"/>
        <v>-16.349694095365994</v>
      </c>
      <c r="CB17" s="2">
        <f t="shared" si="79"/>
        <v>-4.8986173040455903</v>
      </c>
      <c r="CC17" s="2">
        <f t="shared" si="80"/>
        <v>6.7499967791776001</v>
      </c>
      <c r="CD17" s="2">
        <f t="shared" si="81"/>
        <v>62.218631241498223</v>
      </c>
    </row>
    <row r="18" spans="1:82" x14ac:dyDescent="0.2">
      <c r="A18" s="6">
        <f t="shared" si="0"/>
        <v>9.7628458498023729</v>
      </c>
      <c r="B18" s="6">
        <f t="shared" si="36"/>
        <v>0</v>
      </c>
      <c r="C18" s="6">
        <f t="shared" si="1"/>
        <v>1.2474747474747476</v>
      </c>
      <c r="D18" s="6">
        <f t="shared" si="37"/>
        <v>-13.289955658376698</v>
      </c>
      <c r="E18" s="6">
        <f t="shared" si="2"/>
        <v>0.21052631578947367</v>
      </c>
      <c r="F18" s="6">
        <f t="shared" si="38"/>
        <v>18.595000559000898</v>
      </c>
      <c r="G18" s="6">
        <f t="shared" si="3"/>
        <v>6.8825910931174086E-2</v>
      </c>
      <c r="H18" s="6">
        <f t="shared" si="39"/>
        <v>-25.879981024667938</v>
      </c>
      <c r="I18" s="6">
        <f t="shared" si="4"/>
        <v>30.875000000000004</v>
      </c>
      <c r="J18" s="6">
        <f t="shared" si="40"/>
        <v>35.087942894593532</v>
      </c>
      <c r="K18" s="6">
        <f t="shared" si="5"/>
        <v>0.2995951417004048</v>
      </c>
      <c r="L18" s="6">
        <f t="shared" si="41"/>
        <v>0</v>
      </c>
      <c r="M18" s="6">
        <f t="shared" si="6"/>
        <v>8.9068825910931168E-2</v>
      </c>
      <c r="N18" s="6">
        <f t="shared" si="42"/>
        <v>0</v>
      </c>
      <c r="O18" s="6">
        <f t="shared" si="7"/>
        <v>2.8720930232558146</v>
      </c>
      <c r="P18" s="6">
        <f t="shared" si="43"/>
        <v>-19.633801909384758</v>
      </c>
      <c r="Q18" s="6">
        <f t="shared" si="8"/>
        <v>7.8260869565217392</v>
      </c>
      <c r="R18" s="6">
        <f t="shared" si="44"/>
        <v>21.159152939218224</v>
      </c>
      <c r="S18" s="6">
        <f t="shared" si="9"/>
        <v>2.0553359683794468</v>
      </c>
      <c r="T18" s="6">
        <f t="shared" si="45"/>
        <v>21.20987309539392</v>
      </c>
      <c r="U18" s="6">
        <f t="shared" si="10"/>
        <v>0.67193675889328064</v>
      </c>
      <c r="V18" s="6">
        <f t="shared" si="46"/>
        <v>-16.070018318746182</v>
      </c>
      <c r="W18" s="6">
        <f t="shared" si="11"/>
        <v>3.1625000000000001</v>
      </c>
      <c r="X18" s="6">
        <f t="shared" si="47"/>
        <v>30.254155302235585</v>
      </c>
      <c r="Y18" s="6">
        <f t="shared" si="12"/>
        <v>2.924901185770751</v>
      </c>
      <c r="Z18" s="6">
        <f t="shared" si="48"/>
        <v>0</v>
      </c>
      <c r="AA18" s="6">
        <f t="shared" si="13"/>
        <v>0.86956521739130432</v>
      </c>
      <c r="AB18" s="6">
        <f t="shared" si="49"/>
        <v>0</v>
      </c>
      <c r="AC18" s="6">
        <f t="shared" si="14"/>
        <v>0.29418604651162794</v>
      </c>
      <c r="AD18" s="6">
        <f t="shared" si="50"/>
        <v>-24.599388617379613</v>
      </c>
      <c r="AE18" s="6">
        <f t="shared" si="15"/>
        <v>0.26262626262626265</v>
      </c>
      <c r="AF18" s="6">
        <f t="shared" si="51"/>
        <v>0</v>
      </c>
      <c r="AG18" s="6">
        <f t="shared" si="16"/>
        <v>8.585858585858587E-2</v>
      </c>
      <c r="AH18" s="6">
        <f t="shared" si="52"/>
        <v>-28.165222201733354</v>
      </c>
      <c r="AI18" s="6">
        <f t="shared" si="17"/>
        <v>24.75</v>
      </c>
      <c r="AJ18" s="6">
        <f t="shared" si="53"/>
        <v>63.048365783853853</v>
      </c>
      <c r="AK18" s="6">
        <f t="shared" si="18"/>
        <v>0.37373737373737376</v>
      </c>
      <c r="AL18" s="6">
        <f t="shared" si="54"/>
        <v>-21.634019340441355</v>
      </c>
      <c r="AM18" s="6">
        <f t="shared" si="19"/>
        <v>0.1111111111111111</v>
      </c>
      <c r="AN18" s="6">
        <f t="shared" si="55"/>
        <v>-15.072992700729928</v>
      </c>
      <c r="AO18" s="6">
        <f t="shared" si="20"/>
        <v>0.43434343434343431</v>
      </c>
      <c r="AP18" s="6">
        <f t="shared" si="56"/>
        <v>0</v>
      </c>
      <c r="AQ18" s="6">
        <f t="shared" si="21"/>
        <v>3.0588235294117645</v>
      </c>
      <c r="AR18" s="6">
        <f t="shared" si="57"/>
        <v>44.326333003220029</v>
      </c>
      <c r="AS18" s="6">
        <f t="shared" si="22"/>
        <v>6.5</v>
      </c>
      <c r="AT18" s="6">
        <f t="shared" si="58"/>
        <v>45.897424124156288</v>
      </c>
      <c r="AU18" s="6">
        <f t="shared" si="23"/>
        <v>1.4230769230769231</v>
      </c>
      <c r="AV18" s="6">
        <f t="shared" si="59"/>
        <v>-26.476210050354542</v>
      </c>
      <c r="AW18" s="6">
        <f t="shared" si="24"/>
        <v>2.3636363636363638</v>
      </c>
      <c r="AX18" s="6">
        <f t="shared" si="60"/>
        <v>22.394115401583154</v>
      </c>
      <c r="AY18" s="1">
        <f t="shared" si="25"/>
        <v>0.60465116279069775</v>
      </c>
      <c r="AZ18" s="6">
        <f t="shared" si="61"/>
        <v>0</v>
      </c>
      <c r="BA18" s="6">
        <f t="shared" si="26"/>
        <v>2.125</v>
      </c>
      <c r="BB18" s="6">
        <f t="shared" si="62"/>
        <v>11.457099145318807</v>
      </c>
      <c r="BC18" s="6">
        <f t="shared" si="27"/>
        <v>0.22972972972972974</v>
      </c>
      <c r="BD18" s="6">
        <f t="shared" si="63"/>
        <v>-15.432773109243696</v>
      </c>
      <c r="BE18" s="6">
        <f t="shared" si="28"/>
        <v>0.77272727272727271</v>
      </c>
      <c r="BF18" s="6">
        <f t="shared" si="64"/>
        <v>-14.654996946875638</v>
      </c>
      <c r="BG18" s="6">
        <f t="shared" si="29"/>
        <v>0.19767441860465118</v>
      </c>
      <c r="BH18" s="6">
        <f t="shared" si="65"/>
        <v>-43.401224896738356</v>
      </c>
      <c r="BI18" s="6">
        <f t="shared" si="30"/>
        <v>9.25</v>
      </c>
      <c r="BJ18" s="6">
        <f t="shared" si="66"/>
        <v>27.169419694449086</v>
      </c>
      <c r="BK18" s="6">
        <f t="shared" si="31"/>
        <v>2.75</v>
      </c>
      <c r="BL18" s="6">
        <f t="shared" si="67"/>
        <v>23.290762846018911</v>
      </c>
      <c r="BM18" s="6">
        <f t="shared" si="32"/>
        <v>9.3023255813953487E-2</v>
      </c>
      <c r="BN18" s="6">
        <f t="shared" si="68"/>
        <v>0</v>
      </c>
      <c r="BO18" s="6">
        <f t="shared" si="33"/>
        <v>0.29729729729729731</v>
      </c>
      <c r="BP18" s="6">
        <f t="shared" si="69"/>
        <v>0</v>
      </c>
      <c r="BQ18" s="6">
        <f t="shared" si="34"/>
        <v>0.86046511627906974</v>
      </c>
      <c r="BR18" s="6">
        <f t="shared" si="70"/>
        <v>-25.350675675675681</v>
      </c>
      <c r="BS18" s="6">
        <f t="shared" si="35"/>
        <v>0.2558139534883721</v>
      </c>
      <c r="BT18" s="6">
        <f t="shared" si="71"/>
        <v>-27.027154663518296</v>
      </c>
      <c r="BU18" s="2">
        <f t="shared" si="72"/>
        <v>1.1811457240623895</v>
      </c>
      <c r="BV18" s="2">
        <f t="shared" si="73"/>
        <v>-2.5805301288762492</v>
      </c>
      <c r="BW18" s="2">
        <f t="shared" si="74"/>
        <v>20.296213578044178</v>
      </c>
      <c r="BX18" s="2">
        <f t="shared" si="75"/>
        <v>22.362369529213606</v>
      </c>
      <c r="BY18" s="2">
        <f t="shared" si="76"/>
        <v>-22.059181294488297</v>
      </c>
      <c r="BZ18" s="2">
        <f t="shared" si="77"/>
        <v>-3.8573390328473489</v>
      </c>
      <c r="CA18" s="2">
        <f t="shared" si="78"/>
        <v>-29.525646223828257</v>
      </c>
      <c r="CB18" s="2">
        <f t="shared" si="79"/>
        <v>-3.3185628716171038</v>
      </c>
      <c r="CC18" s="2">
        <f t="shared" si="80"/>
        <v>17.50153072033709</v>
      </c>
      <c r="CD18" s="2">
        <f t="shared" si="81"/>
        <v>122.68251910331452</v>
      </c>
    </row>
    <row r="19" spans="1:82" x14ac:dyDescent="0.2">
      <c r="A19" s="6">
        <f t="shared" si="0"/>
        <v>8.1428571428571406</v>
      </c>
      <c r="B19" s="6">
        <f t="shared" si="36"/>
        <v>0</v>
      </c>
      <c r="C19" s="6">
        <f t="shared" si="1"/>
        <v>1.4615384615384615</v>
      </c>
      <c r="D19" s="6">
        <f t="shared" si="37"/>
        <v>0</v>
      </c>
      <c r="E19" s="6">
        <f t="shared" si="2"/>
        <v>0.12280701754385967</v>
      </c>
      <c r="F19" s="6">
        <f t="shared" si="38"/>
        <v>0</v>
      </c>
      <c r="G19" s="6">
        <f t="shared" si="3"/>
        <v>0.12280701754385967</v>
      </c>
      <c r="H19" s="6">
        <f t="shared" si="39"/>
        <v>0</v>
      </c>
      <c r="I19" s="6">
        <f t="shared" si="4"/>
        <v>13.411764705882351</v>
      </c>
      <c r="J19" s="6">
        <f t="shared" si="40"/>
        <v>0</v>
      </c>
      <c r="K19" s="6">
        <f t="shared" si="5"/>
        <v>0.324561403508772</v>
      </c>
      <c r="L19" s="6">
        <f t="shared" si="41"/>
        <v>0</v>
      </c>
      <c r="M19" s="6">
        <f t="shared" si="6"/>
        <v>8.3333333333333343E-2</v>
      </c>
      <c r="N19" s="6">
        <f t="shared" si="42"/>
        <v>-13.737373737373726</v>
      </c>
      <c r="O19" s="6">
        <f t="shared" si="7"/>
        <v>4.5599999999999996</v>
      </c>
      <c r="P19" s="6">
        <f t="shared" si="43"/>
        <v>0</v>
      </c>
      <c r="Q19" s="6">
        <f t="shared" si="8"/>
        <v>5.5714285714285712</v>
      </c>
      <c r="R19" s="6">
        <f t="shared" si="44"/>
        <v>0</v>
      </c>
      <c r="S19" s="6">
        <f t="shared" si="9"/>
        <v>1</v>
      </c>
      <c r="T19" s="6">
        <f t="shared" si="45"/>
        <v>0</v>
      </c>
      <c r="U19" s="6">
        <f t="shared" si="10"/>
        <v>1</v>
      </c>
      <c r="V19" s="6">
        <f t="shared" si="46"/>
        <v>0</v>
      </c>
      <c r="W19" s="6">
        <f t="shared" si="11"/>
        <v>1.6470588235294119</v>
      </c>
      <c r="X19" s="6">
        <f t="shared" si="47"/>
        <v>0</v>
      </c>
      <c r="Y19" s="6">
        <f t="shared" si="12"/>
        <v>2.6428571428571423</v>
      </c>
      <c r="Z19" s="6">
        <f t="shared" si="48"/>
        <v>0</v>
      </c>
      <c r="AA19" s="6">
        <f t="shared" si="13"/>
        <v>0.67857142857142849</v>
      </c>
      <c r="AB19" s="6">
        <f t="shared" si="49"/>
        <v>-14.206103494029199</v>
      </c>
      <c r="AC19" s="6">
        <f t="shared" si="14"/>
        <v>0.56000000000000005</v>
      </c>
      <c r="AD19" s="6">
        <f t="shared" si="50"/>
        <v>0</v>
      </c>
      <c r="AE19" s="6">
        <f t="shared" si="15"/>
        <v>0.17948717948717949</v>
      </c>
      <c r="AF19" s="6">
        <f t="shared" si="51"/>
        <v>0</v>
      </c>
      <c r="AG19" s="6">
        <f t="shared" si="16"/>
        <v>0.17948717948717949</v>
      </c>
      <c r="AH19" s="6">
        <f t="shared" si="52"/>
        <v>0</v>
      </c>
      <c r="AI19" s="6">
        <f t="shared" si="17"/>
        <v>9.1764705882352935</v>
      </c>
      <c r="AJ19" s="6">
        <f t="shared" si="53"/>
        <v>14.283251361278854</v>
      </c>
      <c r="AK19" s="6">
        <f t="shared" si="18"/>
        <v>0.47435897435897434</v>
      </c>
      <c r="AL19" s="6">
        <f t="shared" si="54"/>
        <v>0</v>
      </c>
      <c r="AM19" s="6">
        <f t="shared" si="19"/>
        <v>0.12179487179487179</v>
      </c>
      <c r="AN19" s="6">
        <f t="shared" si="55"/>
        <v>0</v>
      </c>
      <c r="AO19" s="6">
        <f t="shared" si="20"/>
        <v>0.32051282051282048</v>
      </c>
      <c r="AP19" s="6">
        <f t="shared" si="56"/>
        <v>0</v>
      </c>
      <c r="AQ19" s="6">
        <f t="shared" si="21"/>
        <v>1</v>
      </c>
      <c r="AR19" s="6">
        <f t="shared" si="57"/>
        <v>0</v>
      </c>
      <c r="AS19" s="6">
        <f t="shared" si="22"/>
        <v>1.6470588235294119</v>
      </c>
      <c r="AT19" s="6">
        <f t="shared" si="58"/>
        <v>0</v>
      </c>
      <c r="AU19" s="6">
        <f t="shared" si="23"/>
        <v>2.6428571428571423</v>
      </c>
      <c r="AV19" s="6">
        <f t="shared" si="59"/>
        <v>0</v>
      </c>
      <c r="AW19" s="6">
        <f t="shared" si="24"/>
        <v>1.4736842105263159</v>
      </c>
      <c r="AX19" s="6">
        <f t="shared" si="60"/>
        <v>0</v>
      </c>
      <c r="AY19" s="1">
        <f t="shared" si="25"/>
        <v>0.56000000000000005</v>
      </c>
      <c r="AZ19" s="6">
        <f t="shared" si="61"/>
        <v>0</v>
      </c>
      <c r="BA19" s="6">
        <f t="shared" si="26"/>
        <v>1.6470588235294119</v>
      </c>
      <c r="BB19" s="6">
        <f t="shared" si="62"/>
        <v>0</v>
      </c>
      <c r="BC19" s="6">
        <f t="shared" si="27"/>
        <v>0.3783783783783784</v>
      </c>
      <c r="BD19" s="6">
        <f t="shared" si="63"/>
        <v>0</v>
      </c>
      <c r="BE19" s="6">
        <f t="shared" si="28"/>
        <v>1.4736842105263159</v>
      </c>
      <c r="BF19" s="6">
        <f t="shared" si="64"/>
        <v>11.754772271982256</v>
      </c>
      <c r="BG19" s="6">
        <f t="shared" si="29"/>
        <v>0.56000000000000005</v>
      </c>
      <c r="BH19" s="6">
        <f t="shared" si="65"/>
        <v>0</v>
      </c>
      <c r="BI19" s="6">
        <f t="shared" si="30"/>
        <v>4.3529411764705879</v>
      </c>
      <c r="BJ19" s="6">
        <f t="shared" si="66"/>
        <v>0</v>
      </c>
      <c r="BK19" s="6">
        <f t="shared" si="31"/>
        <v>1.1176470588235294</v>
      </c>
      <c r="BL19" s="6">
        <f t="shared" si="67"/>
        <v>0</v>
      </c>
      <c r="BM19" s="6">
        <f t="shared" si="32"/>
        <v>0.34</v>
      </c>
      <c r="BN19" s="6">
        <f t="shared" si="68"/>
        <v>0</v>
      </c>
      <c r="BO19" s="6">
        <f t="shared" si="33"/>
        <v>0.25675675675675674</v>
      </c>
      <c r="BP19" s="6">
        <f t="shared" si="69"/>
        <v>0</v>
      </c>
      <c r="BQ19" s="6">
        <f t="shared" si="34"/>
        <v>1.48</v>
      </c>
      <c r="BR19" s="6">
        <f t="shared" si="70"/>
        <v>0</v>
      </c>
      <c r="BS19" s="6">
        <f t="shared" si="35"/>
        <v>0.38</v>
      </c>
      <c r="BT19" s="6">
        <f t="shared" si="71"/>
        <v>0</v>
      </c>
      <c r="BU19" s="2">
        <f t="shared" si="72"/>
        <v>1.7171717171717158</v>
      </c>
      <c r="BV19" s="2">
        <f t="shared" si="73"/>
        <v>1.7757629367536498</v>
      </c>
      <c r="BW19" s="2">
        <f t="shared" si="74"/>
        <v>1.7854064201598567</v>
      </c>
      <c r="BX19" s="2">
        <f t="shared" si="75"/>
        <v>0</v>
      </c>
      <c r="BY19" s="2">
        <f t="shared" si="76"/>
        <v>1.469346533997782</v>
      </c>
      <c r="BZ19" s="2">
        <f t="shared" si="77"/>
        <v>0</v>
      </c>
      <c r="CA19" s="2">
        <f t="shared" si="78"/>
        <v>-1.7854064201598567</v>
      </c>
      <c r="CB19" s="2">
        <f t="shared" si="79"/>
        <v>-4.9622811879231472</v>
      </c>
      <c r="CC19" s="2">
        <f t="shared" si="80"/>
        <v>0</v>
      </c>
      <c r="CD19" s="2">
        <f t="shared" si="81"/>
        <v>13.495375216166007</v>
      </c>
    </row>
    <row r="20" spans="1:82" x14ac:dyDescent="0.2">
      <c r="A20" s="6">
        <f t="shared" si="0"/>
        <v>10.434782608695651</v>
      </c>
      <c r="B20" s="6">
        <f t="shared" si="36"/>
        <v>14.389398355087868</v>
      </c>
      <c r="C20" s="6">
        <f t="shared" si="1"/>
        <v>1.5894039735099337</v>
      </c>
      <c r="D20" s="6">
        <f t="shared" si="37"/>
        <v>0</v>
      </c>
      <c r="E20" s="6">
        <f t="shared" si="2"/>
        <v>8.7499999999999994E-2</v>
      </c>
      <c r="F20" s="6">
        <f t="shared" si="38"/>
        <v>-34.23180592991914</v>
      </c>
      <c r="G20" s="6">
        <f t="shared" si="3"/>
        <v>6.25E-2</v>
      </c>
      <c r="H20" s="6">
        <f t="shared" si="39"/>
        <v>-32.58064516129032</v>
      </c>
      <c r="I20" s="6">
        <f t="shared" si="4"/>
        <v>21.818181818181817</v>
      </c>
      <c r="J20" s="6">
        <f t="shared" si="40"/>
        <v>20.289343696942751</v>
      </c>
      <c r="K20" s="6">
        <f t="shared" si="5"/>
        <v>0.33750000000000002</v>
      </c>
      <c r="L20" s="6">
        <f t="shared" si="41"/>
        <v>0</v>
      </c>
      <c r="M20" s="6">
        <f t="shared" si="6"/>
        <v>6.6666666666666666E-2</v>
      </c>
      <c r="N20" s="6">
        <f t="shared" si="42"/>
        <v>-29.797979797979803</v>
      </c>
      <c r="O20" s="6">
        <f t="shared" si="7"/>
        <v>4</v>
      </c>
      <c r="P20" s="6">
        <f t="shared" si="43"/>
        <v>0</v>
      </c>
      <c r="Q20" s="6">
        <f t="shared" si="8"/>
        <v>6.5652173913043477</v>
      </c>
      <c r="R20" s="6">
        <f t="shared" si="44"/>
        <v>0</v>
      </c>
      <c r="S20" s="6">
        <f t="shared" si="9"/>
        <v>0.91304347826086951</v>
      </c>
      <c r="T20" s="6">
        <f t="shared" si="45"/>
        <v>-16.509129967776587</v>
      </c>
      <c r="U20" s="6">
        <f t="shared" si="10"/>
        <v>0.65217391304347816</v>
      </c>
      <c r="V20" s="6">
        <f t="shared" si="46"/>
        <v>-17.605536332179938</v>
      </c>
      <c r="W20" s="6">
        <f t="shared" si="11"/>
        <v>2.0909090909090908</v>
      </c>
      <c r="X20" s="6">
        <f t="shared" si="47"/>
        <v>14.641307826145921</v>
      </c>
      <c r="Y20" s="6">
        <f t="shared" si="12"/>
        <v>3.5217391304347827</v>
      </c>
      <c r="Z20" s="6">
        <f t="shared" si="48"/>
        <v>0</v>
      </c>
      <c r="AA20" s="6">
        <f t="shared" si="13"/>
        <v>0.69565217391304346</v>
      </c>
      <c r="AB20" s="6">
        <f t="shared" si="49"/>
        <v>0</v>
      </c>
      <c r="AC20" s="6">
        <f t="shared" si="14"/>
        <v>0.38333333333333336</v>
      </c>
      <c r="AD20" s="6">
        <f t="shared" si="50"/>
        <v>0</v>
      </c>
      <c r="AE20" s="6">
        <f t="shared" si="15"/>
        <v>0.13907284768211919</v>
      </c>
      <c r="AF20" s="6">
        <f t="shared" si="51"/>
        <v>-20.995975855130798</v>
      </c>
      <c r="AG20" s="6">
        <f t="shared" si="16"/>
        <v>9.9337748344370855E-2</v>
      </c>
      <c r="AH20" s="6">
        <f t="shared" si="52"/>
        <v>-20.089864158829684</v>
      </c>
      <c r="AI20" s="6">
        <f t="shared" si="17"/>
        <v>13.727272727272727</v>
      </c>
      <c r="AJ20" s="6">
        <f t="shared" si="53"/>
        <v>28.533096798178612</v>
      </c>
      <c r="AK20" s="6">
        <f t="shared" si="18"/>
        <v>0.53642384105960261</v>
      </c>
      <c r="AL20" s="6">
        <f t="shared" si="54"/>
        <v>0</v>
      </c>
      <c r="AM20" s="6">
        <f t="shared" si="19"/>
        <v>0.10596026490066225</v>
      </c>
      <c r="AN20" s="6">
        <f t="shared" si="55"/>
        <v>-17.579835766423361</v>
      </c>
      <c r="AO20" s="6">
        <f t="shared" si="20"/>
        <v>0.39735099337748347</v>
      </c>
      <c r="AP20" s="6">
        <f t="shared" si="56"/>
        <v>0</v>
      </c>
      <c r="AQ20" s="6">
        <f t="shared" si="21"/>
        <v>1.4</v>
      </c>
      <c r="AR20" s="6">
        <f t="shared" si="57"/>
        <v>0</v>
      </c>
      <c r="AS20" s="6">
        <f t="shared" si="22"/>
        <v>1.9090909090909092</v>
      </c>
      <c r="AT20" s="6">
        <f t="shared" si="58"/>
        <v>0</v>
      </c>
      <c r="AU20" s="6">
        <f t="shared" si="23"/>
        <v>3.8571428571428572</v>
      </c>
      <c r="AV20" s="6">
        <f t="shared" si="59"/>
        <v>22.73088317424115</v>
      </c>
      <c r="AW20" s="6">
        <f t="shared" si="24"/>
        <v>1.3125</v>
      </c>
      <c r="AX20" s="6">
        <f t="shared" si="60"/>
        <v>0</v>
      </c>
      <c r="AY20" s="1">
        <f t="shared" si="25"/>
        <v>0.35000000000000003</v>
      </c>
      <c r="AZ20" s="6">
        <f t="shared" si="61"/>
        <v>-25.753604193971164</v>
      </c>
      <c r="BA20" s="6">
        <f t="shared" si="26"/>
        <v>1.3636363636363635</v>
      </c>
      <c r="BB20" s="6">
        <f t="shared" si="62"/>
        <v>0</v>
      </c>
      <c r="BC20" s="6">
        <f t="shared" si="27"/>
        <v>0.18518518518518517</v>
      </c>
      <c r="BD20" s="6">
        <f t="shared" si="63"/>
        <v>-27.735714285714295</v>
      </c>
      <c r="BE20" s="6">
        <f t="shared" si="28"/>
        <v>0.9375</v>
      </c>
      <c r="BF20" s="6">
        <f t="shared" si="64"/>
        <v>0</v>
      </c>
      <c r="BG20" s="6">
        <f t="shared" si="29"/>
        <v>0.25</v>
      </c>
      <c r="BH20" s="6">
        <f t="shared" si="65"/>
        <v>-29.24939467312349</v>
      </c>
      <c r="BI20" s="6">
        <f t="shared" si="30"/>
        <v>7.3636363636363633</v>
      </c>
      <c r="BJ20" s="6">
        <f t="shared" si="66"/>
        <v>18.552841797221319</v>
      </c>
      <c r="BK20" s="6">
        <f t="shared" si="31"/>
        <v>1.4545454545454546</v>
      </c>
      <c r="BL20" s="6">
        <f t="shared" si="67"/>
        <v>0</v>
      </c>
      <c r="BM20" s="6">
        <f t="shared" si="32"/>
        <v>0.18333333333333332</v>
      </c>
      <c r="BN20" s="6">
        <f t="shared" si="68"/>
        <v>0</v>
      </c>
      <c r="BO20" s="6">
        <f t="shared" si="33"/>
        <v>0.19753086419753085</v>
      </c>
      <c r="BP20" s="6">
        <f t="shared" si="69"/>
        <v>-22.636718750000004</v>
      </c>
      <c r="BQ20" s="6">
        <f t="shared" si="34"/>
        <v>1.35</v>
      </c>
      <c r="BR20" s="6">
        <f t="shared" si="70"/>
        <v>0</v>
      </c>
      <c r="BS20" s="6">
        <f t="shared" si="35"/>
        <v>0.26666666666666666</v>
      </c>
      <c r="BT20" s="6">
        <f t="shared" si="71"/>
        <v>-24.870129870129869</v>
      </c>
      <c r="BU20" s="2">
        <f t="shared" si="72"/>
        <v>16.411146617652484</v>
      </c>
      <c r="BV20" s="2">
        <f t="shared" si="73"/>
        <v>4.2958219713768226</v>
      </c>
      <c r="BW20" s="2">
        <f t="shared" si="74"/>
        <v>10.899846572320307</v>
      </c>
      <c r="BX20" s="2">
        <f t="shared" si="75"/>
        <v>-15.027674890129855</v>
      </c>
      <c r="BY20" s="2">
        <f t="shared" si="76"/>
        <v>-15.907644326392216</v>
      </c>
      <c r="BZ20" s="2">
        <f t="shared" si="77"/>
        <v>11.457019750897096</v>
      </c>
      <c r="CA20" s="2">
        <f t="shared" si="78"/>
        <v>-10.252073764811076</v>
      </c>
      <c r="CB20" s="2">
        <f t="shared" si="79"/>
        <v>-11.86058302306663</v>
      </c>
      <c r="CC20" s="2">
        <f t="shared" si="80"/>
        <v>9.9841410921530649</v>
      </c>
      <c r="CD20" s="2">
        <f t="shared" si="81"/>
        <v>106.09595200879956</v>
      </c>
    </row>
    <row r="21" spans="1:82" x14ac:dyDescent="0.2">
      <c r="A21" s="6">
        <f t="shared" si="0"/>
        <v>7.36</v>
      </c>
      <c r="B21" s="6">
        <f t="shared" si="36"/>
        <v>-13.252205419029602</v>
      </c>
      <c r="C21" s="6">
        <f t="shared" si="1"/>
        <v>1.3333333333333335</v>
      </c>
      <c r="D21" s="6">
        <f t="shared" si="37"/>
        <v>0</v>
      </c>
      <c r="E21" s="6">
        <f t="shared" si="2"/>
        <v>0.14130434782608695</v>
      </c>
      <c r="F21" s="6">
        <f t="shared" si="38"/>
        <v>0</v>
      </c>
      <c r="G21" s="6">
        <f t="shared" si="3"/>
        <v>0.14130434782608695</v>
      </c>
      <c r="H21" s="6">
        <f t="shared" si="39"/>
        <v>10.100038476337046</v>
      </c>
      <c r="I21" s="6">
        <f t="shared" si="4"/>
        <v>14.153846153846153</v>
      </c>
      <c r="J21" s="6">
        <f t="shared" si="40"/>
        <v>0</v>
      </c>
      <c r="K21" s="6">
        <f t="shared" si="5"/>
        <v>0.40217391304347827</v>
      </c>
      <c r="L21" s="6">
        <f t="shared" si="41"/>
        <v>0</v>
      </c>
      <c r="M21" s="6">
        <f t="shared" si="6"/>
        <v>7.0652173913043473E-2</v>
      </c>
      <c r="N21" s="6">
        <f t="shared" si="42"/>
        <v>-25.268065268065271</v>
      </c>
      <c r="O21" s="6">
        <f t="shared" si="7"/>
        <v>2.628571428571429</v>
      </c>
      <c r="P21" s="6">
        <f t="shared" si="43"/>
        <v>-23.910160304463144</v>
      </c>
      <c r="Q21" s="6">
        <f t="shared" si="8"/>
        <v>5.52</v>
      </c>
      <c r="R21" s="6">
        <f t="shared" si="44"/>
        <v>0</v>
      </c>
      <c r="S21" s="6">
        <f t="shared" si="9"/>
        <v>1.04</v>
      </c>
      <c r="T21" s="6">
        <f t="shared" si="45"/>
        <v>0</v>
      </c>
      <c r="U21" s="6">
        <f t="shared" si="10"/>
        <v>1.04</v>
      </c>
      <c r="V21" s="6">
        <f t="shared" si="46"/>
        <v>0</v>
      </c>
      <c r="W21" s="6">
        <f t="shared" si="11"/>
        <v>1.9230769230769231</v>
      </c>
      <c r="X21" s="6">
        <f t="shared" si="47"/>
        <v>12.196029487448467</v>
      </c>
      <c r="Y21" s="6">
        <f t="shared" si="12"/>
        <v>2.96</v>
      </c>
      <c r="Z21" s="6">
        <f t="shared" si="48"/>
        <v>0</v>
      </c>
      <c r="AA21" s="6">
        <f t="shared" si="13"/>
        <v>0.52</v>
      </c>
      <c r="AB21" s="6">
        <f t="shared" si="49"/>
        <v>-31.351001939237236</v>
      </c>
      <c r="AC21" s="6">
        <f t="shared" si="14"/>
        <v>0.35714285714285715</v>
      </c>
      <c r="AD21" s="6">
        <f t="shared" si="50"/>
        <v>0</v>
      </c>
      <c r="AE21" s="6">
        <f t="shared" si="15"/>
        <v>0.18840579710144931</v>
      </c>
      <c r="AF21" s="6">
        <f t="shared" si="51"/>
        <v>0</v>
      </c>
      <c r="AG21" s="6">
        <f t="shared" si="16"/>
        <v>0.18840579710144931</v>
      </c>
      <c r="AH21" s="6">
        <f t="shared" si="52"/>
        <v>0</v>
      </c>
      <c r="AI21" s="6">
        <f t="shared" si="17"/>
        <v>10.615384615384615</v>
      </c>
      <c r="AJ21" s="6">
        <f t="shared" si="53"/>
        <v>18.788897147980055</v>
      </c>
      <c r="AK21" s="6">
        <f t="shared" si="18"/>
        <v>0.53623188405797106</v>
      </c>
      <c r="AL21" s="6">
        <f t="shared" si="54"/>
        <v>0</v>
      </c>
      <c r="AM21" s="6">
        <f t="shared" si="19"/>
        <v>9.420289855072464E-2</v>
      </c>
      <c r="AN21" s="6">
        <f t="shared" si="55"/>
        <v>-24.329028635597979</v>
      </c>
      <c r="AO21" s="6">
        <f t="shared" si="20"/>
        <v>0.50724637681159424</v>
      </c>
      <c r="AP21" s="6">
        <f t="shared" si="56"/>
        <v>14.399738143764255</v>
      </c>
      <c r="AQ21" s="6">
        <f t="shared" si="21"/>
        <v>1</v>
      </c>
      <c r="AR21" s="6">
        <f t="shared" si="57"/>
        <v>0</v>
      </c>
      <c r="AS21" s="6">
        <f t="shared" si="22"/>
        <v>2</v>
      </c>
      <c r="AT21" s="6">
        <f t="shared" si="58"/>
        <v>0</v>
      </c>
      <c r="AU21" s="6">
        <f t="shared" si="23"/>
        <v>2.8461538461538463</v>
      </c>
      <c r="AV21" s="6">
        <f t="shared" si="59"/>
        <v>0</v>
      </c>
      <c r="AW21" s="6">
        <f t="shared" si="24"/>
        <v>2</v>
      </c>
      <c r="AX21" s="6">
        <f t="shared" si="60"/>
        <v>13.250861180256967</v>
      </c>
      <c r="AY21" s="1">
        <f t="shared" si="25"/>
        <v>0.37142857142857144</v>
      </c>
      <c r="AZ21" s="6">
        <f t="shared" si="61"/>
        <v>-22.94460127028934</v>
      </c>
      <c r="BA21" s="6">
        <f t="shared" si="26"/>
        <v>2</v>
      </c>
      <c r="BB21" s="6">
        <f t="shared" si="62"/>
        <v>10.019210196358115</v>
      </c>
      <c r="BC21" s="6">
        <f t="shared" si="27"/>
        <v>0.35135135135135137</v>
      </c>
      <c r="BD21" s="6">
        <f t="shared" si="63"/>
        <v>0</v>
      </c>
      <c r="BE21" s="6">
        <f t="shared" si="28"/>
        <v>2</v>
      </c>
      <c r="BF21" s="6">
        <f t="shared" si="64"/>
        <v>28.310789556464297</v>
      </c>
      <c r="BG21" s="6">
        <f t="shared" si="29"/>
        <v>0.37142857142857144</v>
      </c>
      <c r="BH21" s="6">
        <f t="shared" si="65"/>
        <v>0</v>
      </c>
      <c r="BI21" s="6">
        <f t="shared" si="30"/>
        <v>5.6923076923076925</v>
      </c>
      <c r="BJ21" s="6">
        <f t="shared" si="66"/>
        <v>10.918505866035268</v>
      </c>
      <c r="BK21" s="6">
        <f t="shared" si="31"/>
        <v>1</v>
      </c>
      <c r="BL21" s="6">
        <f t="shared" si="67"/>
        <v>0</v>
      </c>
      <c r="BM21" s="6">
        <f t="shared" si="32"/>
        <v>0.18571428571428572</v>
      </c>
      <c r="BN21" s="6">
        <f t="shared" si="68"/>
        <v>0</v>
      </c>
      <c r="BO21" s="6">
        <f t="shared" si="33"/>
        <v>0.17567567567567569</v>
      </c>
      <c r="BP21" s="6">
        <f t="shared" si="69"/>
        <v>-30.312499999999993</v>
      </c>
      <c r="BQ21" s="6">
        <f t="shared" si="34"/>
        <v>1.0571428571428572</v>
      </c>
      <c r="BR21" s="6">
        <f t="shared" si="70"/>
        <v>0</v>
      </c>
      <c r="BS21" s="6">
        <f t="shared" si="35"/>
        <v>0.18571428571428572</v>
      </c>
      <c r="BT21" s="6">
        <f t="shared" si="71"/>
        <v>-47.032967032967036</v>
      </c>
      <c r="BU21" s="2">
        <f t="shared" si="72"/>
        <v>-2.7492923664705651</v>
      </c>
      <c r="BV21" s="2">
        <f t="shared" si="73"/>
        <v>7.0999046057144133</v>
      </c>
      <c r="BW21" s="2">
        <f t="shared" si="74"/>
        <v>3.5897734549767222</v>
      </c>
      <c r="BX21" s="2">
        <f t="shared" si="75"/>
        <v>-1.2117175112540466</v>
      </c>
      <c r="BY21" s="2">
        <f t="shared" si="76"/>
        <v>6.0537547786449322</v>
      </c>
      <c r="BZ21" s="2">
        <f t="shared" si="77"/>
        <v>5.1538757332544076</v>
      </c>
      <c r="CA21" s="2">
        <f t="shared" si="78"/>
        <v>-6.4903303372277383</v>
      </c>
      <c r="CB21" s="2">
        <f t="shared" si="79"/>
        <v>-24.981901701573598</v>
      </c>
      <c r="CC21" s="2">
        <f t="shared" si="80"/>
        <v>13.535933343935472</v>
      </c>
      <c r="CD21" s="2">
        <f t="shared" si="81"/>
        <v>70.866483833051902</v>
      </c>
    </row>
    <row r="22" spans="1:82" x14ac:dyDescent="0.2">
      <c r="A22" s="6">
        <f t="shared" si="0"/>
        <v>8.1538461538461533</v>
      </c>
      <c r="B22" s="6">
        <f t="shared" si="36"/>
        <v>0</v>
      </c>
      <c r="C22" s="6">
        <f t="shared" si="1"/>
        <v>1.5703703703703704</v>
      </c>
      <c r="D22" s="6">
        <f t="shared" si="37"/>
        <v>0</v>
      </c>
      <c r="E22" s="6">
        <f t="shared" si="2"/>
        <v>0.12264150943396226</v>
      </c>
      <c r="F22" s="6">
        <f t="shared" si="38"/>
        <v>0</v>
      </c>
      <c r="G22" s="6">
        <f t="shared" si="3"/>
        <v>0.14150943396226415</v>
      </c>
      <c r="H22" s="6">
        <f t="shared" si="39"/>
        <v>10.173220797268108</v>
      </c>
      <c r="I22" s="6">
        <f t="shared" si="4"/>
        <v>12.470588235294118</v>
      </c>
      <c r="J22" s="6">
        <f t="shared" si="40"/>
        <v>0</v>
      </c>
      <c r="K22" s="6">
        <f t="shared" si="5"/>
        <v>0.34905660377358488</v>
      </c>
      <c r="L22" s="6">
        <f t="shared" si="41"/>
        <v>0</v>
      </c>
      <c r="M22" s="6">
        <f t="shared" si="6"/>
        <v>7.5471698113207544E-2</v>
      </c>
      <c r="N22" s="6">
        <f t="shared" si="42"/>
        <v>-20.429292929292934</v>
      </c>
      <c r="O22" s="6">
        <f t="shared" si="7"/>
        <v>7.0666666666666673</v>
      </c>
      <c r="P22" s="6">
        <f t="shared" si="43"/>
        <v>10.978750474548796</v>
      </c>
      <c r="Q22" s="6">
        <f t="shared" si="8"/>
        <v>5.1923076923076925</v>
      </c>
      <c r="R22" s="6">
        <f t="shared" si="44"/>
        <v>0</v>
      </c>
      <c r="S22" s="6">
        <f t="shared" si="9"/>
        <v>1</v>
      </c>
      <c r="T22" s="6">
        <f t="shared" si="45"/>
        <v>0</v>
      </c>
      <c r="U22" s="6">
        <f t="shared" si="10"/>
        <v>1.1538461538461537</v>
      </c>
      <c r="V22" s="6">
        <f t="shared" si="46"/>
        <v>0</v>
      </c>
      <c r="W22" s="6">
        <f t="shared" si="11"/>
        <v>1.5294117647058822</v>
      </c>
      <c r="X22" s="6">
        <f t="shared" si="47"/>
        <v>0</v>
      </c>
      <c r="Y22" s="6">
        <f t="shared" si="12"/>
        <v>2.8461538461538463</v>
      </c>
      <c r="Z22" s="6">
        <f t="shared" si="48"/>
        <v>0</v>
      </c>
      <c r="AA22" s="6">
        <f t="shared" si="13"/>
        <v>0.61538461538461542</v>
      </c>
      <c r="AB22" s="6">
        <f t="shared" si="49"/>
        <v>-19.978991596638657</v>
      </c>
      <c r="AC22" s="6">
        <f t="shared" si="14"/>
        <v>0.8666666666666667</v>
      </c>
      <c r="AD22" s="6">
        <f t="shared" si="50"/>
        <v>11.672977893949044</v>
      </c>
      <c r="AE22" s="6">
        <f t="shared" si="15"/>
        <v>0.19259259259259259</v>
      </c>
      <c r="AF22" s="6">
        <f t="shared" si="51"/>
        <v>0</v>
      </c>
      <c r="AG22" s="6">
        <f t="shared" si="16"/>
        <v>0.22222222222222221</v>
      </c>
      <c r="AH22" s="6">
        <f t="shared" si="52"/>
        <v>11.389545978079932</v>
      </c>
      <c r="AI22" s="6">
        <f t="shared" si="17"/>
        <v>7.9411764705882355</v>
      </c>
      <c r="AJ22" s="6">
        <f t="shared" si="53"/>
        <v>10.415196959488208</v>
      </c>
      <c r="AK22" s="6">
        <f t="shared" si="18"/>
        <v>0.54814814814814816</v>
      </c>
      <c r="AL22" s="6">
        <f t="shared" si="54"/>
        <v>0</v>
      </c>
      <c r="AM22" s="6">
        <f t="shared" si="19"/>
        <v>0.11851851851851852</v>
      </c>
      <c r="AN22" s="6">
        <f t="shared" si="55"/>
        <v>0</v>
      </c>
      <c r="AO22" s="6">
        <f t="shared" si="20"/>
        <v>0.22222222222222221</v>
      </c>
      <c r="AP22" s="6">
        <f t="shared" si="56"/>
        <v>0</v>
      </c>
      <c r="AQ22" s="6">
        <f t="shared" si="21"/>
        <v>0.8666666666666667</v>
      </c>
      <c r="AR22" s="6">
        <f t="shared" si="57"/>
        <v>-21.09136351013607</v>
      </c>
      <c r="AS22" s="6">
        <f t="shared" si="22"/>
        <v>1.5294117647058822</v>
      </c>
      <c r="AT22" s="6">
        <f t="shared" si="58"/>
        <v>0</v>
      </c>
      <c r="AU22" s="6">
        <f t="shared" si="23"/>
        <v>2.8461538461538463</v>
      </c>
      <c r="AV22" s="6">
        <f t="shared" si="59"/>
        <v>0</v>
      </c>
      <c r="AW22" s="6">
        <f t="shared" si="24"/>
        <v>1.625</v>
      </c>
      <c r="AX22" s="6">
        <f t="shared" si="60"/>
        <v>0</v>
      </c>
      <c r="AY22" s="1">
        <f t="shared" si="25"/>
        <v>0.8666666666666667</v>
      </c>
      <c r="AZ22" s="6">
        <f t="shared" si="61"/>
        <v>0</v>
      </c>
      <c r="BA22" s="6">
        <f t="shared" si="26"/>
        <v>1.7647058823529411</v>
      </c>
      <c r="BB22" s="6">
        <f t="shared" si="62"/>
        <v>0</v>
      </c>
      <c r="BC22" s="6">
        <f t="shared" si="27"/>
        <v>0.40540540540540543</v>
      </c>
      <c r="BD22" s="6">
        <f t="shared" si="63"/>
        <v>0</v>
      </c>
      <c r="BE22" s="6">
        <f t="shared" si="28"/>
        <v>1.875</v>
      </c>
      <c r="BF22" s="6">
        <f t="shared" si="64"/>
        <v>24.378735451399805</v>
      </c>
      <c r="BG22" s="6">
        <f t="shared" si="29"/>
        <v>1</v>
      </c>
      <c r="BH22" s="6">
        <f t="shared" si="65"/>
        <v>19.651191353475802</v>
      </c>
      <c r="BI22" s="6">
        <f t="shared" si="30"/>
        <v>4.3529411764705879</v>
      </c>
      <c r="BJ22" s="6">
        <f t="shared" si="66"/>
        <v>0</v>
      </c>
      <c r="BK22" s="6">
        <f t="shared" si="31"/>
        <v>0.94117647058823528</v>
      </c>
      <c r="BL22" s="6">
        <f t="shared" si="67"/>
        <v>0</v>
      </c>
      <c r="BM22" s="6">
        <f t="shared" si="32"/>
        <v>0.56666666666666665</v>
      </c>
      <c r="BN22" s="6">
        <f t="shared" si="68"/>
        <v>0</v>
      </c>
      <c r="BO22" s="6">
        <f t="shared" si="33"/>
        <v>0.21621621621621623</v>
      </c>
      <c r="BP22" s="6">
        <f t="shared" si="69"/>
        <v>-17.304687499999993</v>
      </c>
      <c r="BQ22" s="6">
        <f t="shared" si="34"/>
        <v>2.4666666666666668</v>
      </c>
      <c r="BR22" s="6">
        <f t="shared" si="70"/>
        <v>10.583766108867088</v>
      </c>
      <c r="BS22" s="6">
        <f t="shared" si="35"/>
        <v>0.53333333333333333</v>
      </c>
      <c r="BT22" s="6">
        <f t="shared" si="71"/>
        <v>0</v>
      </c>
      <c r="BU22" s="2">
        <f t="shared" si="72"/>
        <v>2.6543528258217028</v>
      </c>
      <c r="BV22" s="2">
        <f t="shared" si="73"/>
        <v>3.9564961863234629</v>
      </c>
      <c r="BW22" s="2">
        <f t="shared" si="74"/>
        <v>-0.12179362732396548</v>
      </c>
      <c r="BX22" s="2">
        <f t="shared" si="75"/>
        <v>-2.6364204387670087</v>
      </c>
      <c r="BY22" s="2">
        <f t="shared" si="76"/>
        <v>10.835507136294964</v>
      </c>
      <c r="BZ22" s="2">
        <f t="shared" si="77"/>
        <v>3.4860567011083852</v>
      </c>
      <c r="CA22" s="2">
        <f t="shared" si="78"/>
        <v>-1.301899619936026</v>
      </c>
      <c r="CB22" s="2">
        <f t="shared" si="79"/>
        <v>-10.261463434666425</v>
      </c>
      <c r="CC22" s="2">
        <f t="shared" si="80"/>
        <v>-6.6108357288550916</v>
      </c>
      <c r="CD22" s="2">
        <f t="shared" si="81"/>
        <v>41.864825699097032</v>
      </c>
    </row>
    <row r="23" spans="1:82" x14ac:dyDescent="0.2">
      <c r="A23" s="6">
        <f t="shared" si="0"/>
        <v>8.32</v>
      </c>
      <c r="B23" s="6">
        <f t="shared" si="36"/>
        <v>0</v>
      </c>
      <c r="C23" s="6">
        <f t="shared" si="1"/>
        <v>1.2606060606060607</v>
      </c>
      <c r="D23" s="6">
        <f t="shared" si="37"/>
        <v>-12.531478937728936</v>
      </c>
      <c r="E23" s="6">
        <f t="shared" si="2"/>
        <v>0.12980769230769232</v>
      </c>
      <c r="F23" s="6">
        <f t="shared" si="38"/>
        <v>0</v>
      </c>
      <c r="G23" s="6">
        <f t="shared" si="3"/>
        <v>0.1394230769230769</v>
      </c>
      <c r="H23" s="6">
        <f t="shared" si="39"/>
        <v>0</v>
      </c>
      <c r="I23" s="6">
        <f t="shared" si="4"/>
        <v>4.7272727272727275</v>
      </c>
      <c r="J23" s="6">
        <f t="shared" si="40"/>
        <v>0</v>
      </c>
      <c r="K23" s="6">
        <f t="shared" si="5"/>
        <v>0.33653846153846156</v>
      </c>
      <c r="L23" s="6">
        <f t="shared" si="41"/>
        <v>0</v>
      </c>
      <c r="M23" s="6">
        <f t="shared" si="6"/>
        <v>7.6923076923076927E-2</v>
      </c>
      <c r="N23" s="6">
        <f t="shared" si="42"/>
        <v>-19.090909090909086</v>
      </c>
      <c r="O23" s="6">
        <f t="shared" si="7"/>
        <v>2.9714285714285715</v>
      </c>
      <c r="P23" s="6">
        <f t="shared" si="43"/>
        <v>-18.090695776372169</v>
      </c>
      <c r="Q23" s="6">
        <f t="shared" si="8"/>
        <v>6.6</v>
      </c>
      <c r="R23" s="6">
        <f t="shared" si="44"/>
        <v>0</v>
      </c>
      <c r="S23" s="6">
        <f t="shared" si="9"/>
        <v>1.08</v>
      </c>
      <c r="T23" s="6">
        <f t="shared" si="45"/>
        <v>0</v>
      </c>
      <c r="U23" s="6">
        <f t="shared" si="10"/>
        <v>1.1599999999999999</v>
      </c>
      <c r="V23" s="6">
        <f t="shared" si="46"/>
        <v>0</v>
      </c>
      <c r="W23" s="6">
        <f t="shared" si="11"/>
        <v>0.56818181818181823</v>
      </c>
      <c r="X23" s="6">
        <f t="shared" si="47"/>
        <v>0</v>
      </c>
      <c r="Y23" s="6">
        <f t="shared" si="12"/>
        <v>2.8</v>
      </c>
      <c r="Z23" s="6">
        <f t="shared" si="48"/>
        <v>0</v>
      </c>
      <c r="AA23" s="6">
        <f t="shared" si="13"/>
        <v>0.64</v>
      </c>
      <c r="AB23" s="6">
        <f t="shared" si="49"/>
        <v>-17.594537815126049</v>
      </c>
      <c r="AC23" s="6">
        <f t="shared" si="14"/>
        <v>0.35714285714285715</v>
      </c>
      <c r="AD23" s="6">
        <f t="shared" si="50"/>
        <v>0</v>
      </c>
      <c r="AE23" s="6">
        <f t="shared" si="15"/>
        <v>0.16363636363636366</v>
      </c>
      <c r="AF23" s="6">
        <f t="shared" si="51"/>
        <v>0</v>
      </c>
      <c r="AG23" s="6">
        <f t="shared" si="16"/>
        <v>0.17575757575757575</v>
      </c>
      <c r="AH23" s="6">
        <f t="shared" si="52"/>
        <v>0</v>
      </c>
      <c r="AI23" s="6">
        <f t="shared" si="17"/>
        <v>3.75</v>
      </c>
      <c r="AJ23" s="6">
        <f t="shared" si="53"/>
        <v>0</v>
      </c>
      <c r="AK23" s="6">
        <f t="shared" si="18"/>
        <v>0.42424242424242425</v>
      </c>
      <c r="AL23" s="6">
        <f t="shared" si="54"/>
        <v>-13.597640891218875</v>
      </c>
      <c r="AM23" s="6">
        <f t="shared" si="19"/>
        <v>9.696969696969697E-2</v>
      </c>
      <c r="AN23" s="6">
        <f t="shared" si="55"/>
        <v>-22.593521897810223</v>
      </c>
      <c r="AO23" s="6">
        <f t="shared" si="20"/>
        <v>0.42424242424242425</v>
      </c>
      <c r="AP23" s="6">
        <f t="shared" si="56"/>
        <v>0</v>
      </c>
      <c r="AQ23" s="6">
        <f t="shared" si="21"/>
        <v>0.93103448275862077</v>
      </c>
      <c r="AR23" s="6">
        <f t="shared" si="57"/>
        <v>-17.137317823238398</v>
      </c>
      <c r="AS23" s="6">
        <f t="shared" si="22"/>
        <v>0.61363636363636365</v>
      </c>
      <c r="AT23" s="6">
        <f t="shared" si="58"/>
        <v>0</v>
      </c>
      <c r="AU23" s="6">
        <f t="shared" si="23"/>
        <v>2.5925925925925926</v>
      </c>
      <c r="AV23" s="6">
        <f t="shared" si="59"/>
        <v>0</v>
      </c>
      <c r="AW23" s="6">
        <f t="shared" si="24"/>
        <v>1.6875</v>
      </c>
      <c r="AX23" s="6">
        <f t="shared" si="60"/>
        <v>0</v>
      </c>
      <c r="AY23" s="1">
        <f t="shared" si="25"/>
        <v>0.38571428571428573</v>
      </c>
      <c r="AZ23" s="6">
        <f t="shared" si="61"/>
        <v>-21.24532789670404</v>
      </c>
      <c r="BA23" s="6">
        <f t="shared" si="26"/>
        <v>0.65909090909090906</v>
      </c>
      <c r="BB23" s="6">
        <f t="shared" si="62"/>
        <v>0</v>
      </c>
      <c r="BC23" s="6">
        <f t="shared" si="27"/>
        <v>0.41428571428571426</v>
      </c>
      <c r="BD23" s="6">
        <f t="shared" si="63"/>
        <v>0</v>
      </c>
      <c r="BE23" s="6">
        <f t="shared" si="28"/>
        <v>1.8124999999999998</v>
      </c>
      <c r="BF23" s="6">
        <f t="shared" si="64"/>
        <v>22.412708398867561</v>
      </c>
      <c r="BG23" s="6">
        <f t="shared" si="29"/>
        <v>0.41428571428571426</v>
      </c>
      <c r="BH23" s="6">
        <f t="shared" si="65"/>
        <v>0</v>
      </c>
      <c r="BI23" s="6">
        <f t="shared" si="30"/>
        <v>1.5909090909090908</v>
      </c>
      <c r="BJ23" s="6">
        <f t="shared" si="66"/>
        <v>0</v>
      </c>
      <c r="BK23" s="6">
        <f t="shared" si="31"/>
        <v>0.36363636363636365</v>
      </c>
      <c r="BL23" s="6">
        <f t="shared" si="67"/>
        <v>0</v>
      </c>
      <c r="BM23" s="6">
        <f t="shared" si="32"/>
        <v>0.62857142857142856</v>
      </c>
      <c r="BN23" s="6">
        <f t="shared" si="68"/>
        <v>0</v>
      </c>
      <c r="BO23" s="6">
        <f t="shared" si="33"/>
        <v>0.22857142857142856</v>
      </c>
      <c r="BP23" s="6">
        <f t="shared" si="69"/>
        <v>-14.2578125</v>
      </c>
      <c r="BQ23" s="6">
        <f t="shared" si="34"/>
        <v>1</v>
      </c>
      <c r="BR23" s="6">
        <f t="shared" si="70"/>
        <v>-18.325000000000003</v>
      </c>
      <c r="BS23" s="6">
        <f t="shared" si="35"/>
        <v>0.22857142857142856</v>
      </c>
      <c r="BT23" s="6">
        <f t="shared" si="71"/>
        <v>-33.344155844155843</v>
      </c>
      <c r="BU23" s="2">
        <f t="shared" si="72"/>
        <v>-1.4414082028990023</v>
      </c>
      <c r="BV23" s="2">
        <f t="shared" si="73"/>
        <v>2.1993172268907561</v>
      </c>
      <c r="BW23" s="2">
        <f t="shared" si="74"/>
        <v>6.0903302158447543</v>
      </c>
      <c r="BX23" s="2">
        <f t="shared" si="75"/>
        <v>-4.7978307149928048</v>
      </c>
      <c r="BY23" s="2">
        <f t="shared" si="76"/>
        <v>4.9437532777632445</v>
      </c>
      <c r="BZ23" s="2">
        <f t="shared" si="77"/>
        <v>-2.2081035489023595</v>
      </c>
      <c r="CA23" s="2">
        <f t="shared" si="78"/>
        <v>0</v>
      </c>
      <c r="CB23" s="2">
        <f t="shared" si="79"/>
        <v>-16.161705693358595</v>
      </c>
      <c r="CC23" s="2">
        <f t="shared" si="80"/>
        <v>11.375647439654006</v>
      </c>
      <c r="CD23" s="2">
        <f t="shared" si="81"/>
        <v>49.21809632030552</v>
      </c>
    </row>
    <row r="24" spans="1:82" x14ac:dyDescent="0.2">
      <c r="A24" s="6">
        <f t="shared" si="0"/>
        <v>6.129032258064516</v>
      </c>
      <c r="B24" s="6">
        <f t="shared" si="36"/>
        <v>-30.467581998474451</v>
      </c>
      <c r="C24" s="6">
        <f t="shared" si="1"/>
        <v>1.165644171779141</v>
      </c>
      <c r="D24" s="6">
        <f t="shared" si="37"/>
        <v>-18.401629072681715</v>
      </c>
      <c r="E24" s="6">
        <f t="shared" si="2"/>
        <v>0.11578947368421053</v>
      </c>
      <c r="F24" s="6">
        <f t="shared" si="38"/>
        <v>-14.343910806174952</v>
      </c>
      <c r="G24" s="6">
        <f t="shared" si="3"/>
        <v>9.4736842105263161E-2</v>
      </c>
      <c r="H24" s="6">
        <f t="shared" si="39"/>
        <v>0</v>
      </c>
      <c r="I24" s="6">
        <f t="shared" si="4"/>
        <v>7.916666666666667</v>
      </c>
      <c r="J24" s="6">
        <f t="shared" si="40"/>
        <v>0</v>
      </c>
      <c r="K24" s="6">
        <f t="shared" si="5"/>
        <v>0.36842105263157893</v>
      </c>
      <c r="L24" s="6">
        <f t="shared" si="41"/>
        <v>0</v>
      </c>
      <c r="M24" s="6">
        <f t="shared" si="6"/>
        <v>9.4736842105263161E-2</v>
      </c>
      <c r="N24" s="6">
        <f t="shared" si="42"/>
        <v>0</v>
      </c>
      <c r="O24" s="6">
        <f t="shared" si="7"/>
        <v>3.1666666666666665</v>
      </c>
      <c r="P24" s="6">
        <f t="shared" si="43"/>
        <v>0</v>
      </c>
      <c r="Q24" s="6">
        <f t="shared" si="8"/>
        <v>5.258064516129032</v>
      </c>
      <c r="R24" s="6">
        <f t="shared" si="44"/>
        <v>0</v>
      </c>
      <c r="S24" s="6">
        <f t="shared" si="9"/>
        <v>0.70967741935483875</v>
      </c>
      <c r="T24" s="6">
        <f t="shared" si="45"/>
        <v>-32.012987012987011</v>
      </c>
      <c r="U24" s="6">
        <f t="shared" si="10"/>
        <v>0.58064516129032251</v>
      </c>
      <c r="V24" s="6">
        <f t="shared" si="46"/>
        <v>-24.036908881199544</v>
      </c>
      <c r="W24" s="6">
        <f t="shared" si="11"/>
        <v>1.2916666666666667</v>
      </c>
      <c r="X24" s="6">
        <f t="shared" si="47"/>
        <v>0</v>
      </c>
      <c r="Y24" s="6">
        <f t="shared" si="12"/>
        <v>2.2580645161290325</v>
      </c>
      <c r="Z24" s="6">
        <f t="shared" si="48"/>
        <v>-16.31785714285714</v>
      </c>
      <c r="AA24" s="6">
        <f t="shared" si="13"/>
        <v>0.58064516129032262</v>
      </c>
      <c r="AB24" s="6">
        <f t="shared" si="49"/>
        <v>-23.688141923436039</v>
      </c>
      <c r="AC24" s="6">
        <f t="shared" si="14"/>
        <v>0.51666666666666672</v>
      </c>
      <c r="AD24" s="6">
        <f t="shared" si="50"/>
        <v>0</v>
      </c>
      <c r="AE24" s="6">
        <f t="shared" si="15"/>
        <v>0.13496932515337423</v>
      </c>
      <c r="AF24" s="6">
        <f t="shared" si="51"/>
        <v>-22.704865556978241</v>
      </c>
      <c r="AG24" s="6">
        <f t="shared" si="16"/>
        <v>0.11042944785276074</v>
      </c>
      <c r="AH24" s="6">
        <f t="shared" si="52"/>
        <v>-14.923371647509583</v>
      </c>
      <c r="AI24" s="6">
        <f t="shared" si="17"/>
        <v>6.791666666666667</v>
      </c>
      <c r="AJ24" s="6">
        <f t="shared" si="53"/>
        <v>0</v>
      </c>
      <c r="AK24" s="6">
        <f t="shared" si="18"/>
        <v>0.42944785276073622</v>
      </c>
      <c r="AL24" s="6">
        <f t="shared" si="54"/>
        <v>-12.876802096985582</v>
      </c>
      <c r="AM24" s="6">
        <f t="shared" si="19"/>
        <v>0.11042944785276074</v>
      </c>
      <c r="AN24" s="6">
        <f t="shared" si="55"/>
        <v>-15.391321978913217</v>
      </c>
      <c r="AO24" s="6">
        <f t="shared" si="20"/>
        <v>0.36809815950920249</v>
      </c>
      <c r="AP24" s="6">
        <f t="shared" si="56"/>
        <v>0</v>
      </c>
      <c r="AQ24" s="6">
        <f t="shared" si="21"/>
        <v>1.2222222222222223</v>
      </c>
      <c r="AR24" s="6">
        <f t="shared" si="57"/>
        <v>0</v>
      </c>
      <c r="AS24" s="6">
        <f t="shared" si="22"/>
        <v>0.91666666666666663</v>
      </c>
      <c r="AT24" s="6">
        <f t="shared" si="58"/>
        <v>0</v>
      </c>
      <c r="AU24" s="6">
        <f t="shared" si="23"/>
        <v>3.1818181818181817</v>
      </c>
      <c r="AV24" s="6">
        <f t="shared" si="59"/>
        <v>12.093872275764335</v>
      </c>
      <c r="AW24" s="6">
        <f t="shared" si="24"/>
        <v>1.2222222222222223</v>
      </c>
      <c r="AX24" s="6">
        <f t="shared" si="60"/>
        <v>0</v>
      </c>
      <c r="AY24" s="1">
        <f t="shared" si="25"/>
        <v>0.3666666666666667</v>
      </c>
      <c r="AZ24" s="6">
        <f t="shared" si="61"/>
        <v>-23.540450375312762</v>
      </c>
      <c r="BA24" s="6">
        <f t="shared" si="26"/>
        <v>0.75</v>
      </c>
      <c r="BB24" s="6">
        <f t="shared" si="62"/>
        <v>0</v>
      </c>
      <c r="BC24" s="6">
        <f t="shared" si="27"/>
        <v>0.25714285714285712</v>
      </c>
      <c r="BD24" s="6">
        <f t="shared" si="63"/>
        <v>0</v>
      </c>
      <c r="BE24" s="6">
        <f t="shared" si="28"/>
        <v>1</v>
      </c>
      <c r="BF24" s="6">
        <f t="shared" si="64"/>
        <v>0</v>
      </c>
      <c r="BG24" s="6">
        <f t="shared" si="29"/>
        <v>0.3</v>
      </c>
      <c r="BH24" s="6">
        <f t="shared" si="65"/>
        <v>-20.338983050847464</v>
      </c>
      <c r="BI24" s="6">
        <f t="shared" si="30"/>
        <v>2.9166666666666665</v>
      </c>
      <c r="BJ24" s="6">
        <f t="shared" si="66"/>
        <v>0</v>
      </c>
      <c r="BK24" s="6">
        <f t="shared" si="31"/>
        <v>0.75</v>
      </c>
      <c r="BL24" s="6">
        <f t="shared" si="67"/>
        <v>0</v>
      </c>
      <c r="BM24" s="6">
        <f t="shared" si="32"/>
        <v>0.4</v>
      </c>
      <c r="BN24" s="6">
        <f t="shared" si="68"/>
        <v>0</v>
      </c>
      <c r="BO24" s="6">
        <f t="shared" si="33"/>
        <v>0.25714285714285712</v>
      </c>
      <c r="BP24" s="6">
        <f t="shared" si="69"/>
        <v>0</v>
      </c>
      <c r="BQ24" s="6">
        <f t="shared" si="34"/>
        <v>1.1666666666666667</v>
      </c>
      <c r="BR24" s="6">
        <f t="shared" si="70"/>
        <v>0</v>
      </c>
      <c r="BS24" s="6">
        <f t="shared" si="35"/>
        <v>0.3</v>
      </c>
      <c r="BT24" s="6">
        <f t="shared" si="71"/>
        <v>-19.220779220779225</v>
      </c>
      <c r="BU24" s="2">
        <f t="shared" si="72"/>
        <v>-4.3156625331226515</v>
      </c>
      <c r="BV24" s="2">
        <f t="shared" si="73"/>
        <v>15.815434619869272</v>
      </c>
      <c r="BW24" s="2">
        <f t="shared" si="74"/>
        <v>10.537248794133541</v>
      </c>
      <c r="BX24" s="2">
        <f t="shared" si="75"/>
        <v>-13.087010753402163</v>
      </c>
      <c r="BY24" s="2">
        <f t="shared" si="76"/>
        <v>-7.4124079474445743</v>
      </c>
      <c r="BZ24" s="2">
        <f t="shared" si="77"/>
        <v>-2.1375983705097985</v>
      </c>
      <c r="CA24" s="2">
        <f t="shared" si="78"/>
        <v>0</v>
      </c>
      <c r="CB24" s="2">
        <f t="shared" si="79"/>
        <v>-7.2875303903910602</v>
      </c>
      <c r="CC24" s="2">
        <f t="shared" si="80"/>
        <v>7.8875265808674317</v>
      </c>
      <c r="CD24" s="2">
        <f t="shared" si="81"/>
        <v>68.480419989740497</v>
      </c>
    </row>
    <row r="25" spans="1:82" x14ac:dyDescent="0.2">
      <c r="A25" s="6">
        <f t="shared" si="0"/>
        <v>8.6363636363636367</v>
      </c>
      <c r="B25" s="6">
        <f t="shared" si="36"/>
        <v>0</v>
      </c>
      <c r="C25" s="6">
        <f t="shared" si="1"/>
        <v>1.5833333333333333</v>
      </c>
      <c r="D25" s="6">
        <f t="shared" si="37"/>
        <v>0</v>
      </c>
      <c r="E25" s="6">
        <f t="shared" si="2"/>
        <v>0.12631578947368421</v>
      </c>
      <c r="F25" s="6">
        <f t="shared" si="38"/>
        <v>0</v>
      </c>
      <c r="G25" s="6">
        <f t="shared" si="3"/>
        <v>0.14736842105263159</v>
      </c>
      <c r="H25" s="6">
        <f t="shared" si="39"/>
        <v>12.263924155235367</v>
      </c>
      <c r="I25" s="6">
        <f t="shared" si="4"/>
        <v>4.1304347826086953</v>
      </c>
      <c r="J25" s="6">
        <f t="shared" si="40"/>
        <v>0</v>
      </c>
      <c r="K25" s="6">
        <f t="shared" si="5"/>
        <v>0.35263157894736841</v>
      </c>
      <c r="L25" s="6">
        <f t="shared" si="41"/>
        <v>0</v>
      </c>
      <c r="M25" s="6">
        <f t="shared" si="6"/>
        <v>8.9473684210526316E-2</v>
      </c>
      <c r="N25" s="6">
        <f t="shared" si="42"/>
        <v>0</v>
      </c>
      <c r="O25" s="6">
        <f t="shared" si="7"/>
        <v>2.7142857142857144</v>
      </c>
      <c r="P25" s="6">
        <f t="shared" si="43"/>
        <v>-22.317464749406671</v>
      </c>
      <c r="Q25" s="6">
        <f t="shared" si="8"/>
        <v>5.4545454545454541</v>
      </c>
      <c r="R25" s="6">
        <f t="shared" si="44"/>
        <v>0</v>
      </c>
      <c r="S25" s="6">
        <f t="shared" si="9"/>
        <v>1.0909090909090908</v>
      </c>
      <c r="T25" s="6">
        <f t="shared" si="45"/>
        <v>0</v>
      </c>
      <c r="U25" s="6">
        <f t="shared" si="10"/>
        <v>1.2727272727272729</v>
      </c>
      <c r="V25" s="6">
        <f t="shared" si="46"/>
        <v>10.153011250150259</v>
      </c>
      <c r="W25" s="6">
        <f t="shared" si="11"/>
        <v>0.47826086956521741</v>
      </c>
      <c r="X25" s="6">
        <f t="shared" si="47"/>
        <v>0</v>
      </c>
      <c r="Y25" s="6">
        <f t="shared" si="12"/>
        <v>3.0454545454545454</v>
      </c>
      <c r="Z25" s="6">
        <f t="shared" si="48"/>
        <v>0</v>
      </c>
      <c r="AA25" s="6">
        <f t="shared" si="13"/>
        <v>0.77272727272727271</v>
      </c>
      <c r="AB25" s="6">
        <f t="shared" si="49"/>
        <v>0</v>
      </c>
      <c r="AC25" s="6">
        <f t="shared" si="14"/>
        <v>0.31428571428571433</v>
      </c>
      <c r="AD25" s="6">
        <f t="shared" si="50"/>
        <v>-21.450962830273163</v>
      </c>
      <c r="AE25" s="6">
        <f t="shared" si="15"/>
        <v>0.2</v>
      </c>
      <c r="AF25" s="6">
        <f t="shared" si="51"/>
        <v>0</v>
      </c>
      <c r="AG25" s="6">
        <f t="shared" si="16"/>
        <v>0.23333333333333336</v>
      </c>
      <c r="AH25" s="6">
        <f t="shared" si="52"/>
        <v>13.526421396106194</v>
      </c>
      <c r="AI25" s="6">
        <f t="shared" si="17"/>
        <v>2.6086956521739131</v>
      </c>
      <c r="AJ25" s="6">
        <f t="shared" si="53"/>
        <v>0</v>
      </c>
      <c r="AK25" s="6">
        <f t="shared" si="18"/>
        <v>0.55833333333333335</v>
      </c>
      <c r="AL25" s="6">
        <f t="shared" si="54"/>
        <v>0</v>
      </c>
      <c r="AM25" s="6">
        <f t="shared" si="19"/>
        <v>0.14166666666666666</v>
      </c>
      <c r="AN25" s="6">
        <f t="shared" si="55"/>
        <v>0</v>
      </c>
      <c r="AO25" s="6">
        <f t="shared" si="20"/>
        <v>0.58333333333333337</v>
      </c>
      <c r="AP25" s="6">
        <f t="shared" si="56"/>
        <v>20.58114658650852</v>
      </c>
      <c r="AQ25" s="6">
        <f t="shared" si="21"/>
        <v>0.85714285714285698</v>
      </c>
      <c r="AR25" s="6">
        <f t="shared" si="57"/>
        <v>-21.726835138387496</v>
      </c>
      <c r="AS25" s="6">
        <f t="shared" si="22"/>
        <v>0.52173913043478259</v>
      </c>
      <c r="AT25" s="6">
        <f t="shared" si="58"/>
        <v>0</v>
      </c>
      <c r="AU25" s="6">
        <f t="shared" si="23"/>
        <v>2.7916666666666665</v>
      </c>
      <c r="AV25" s="6">
        <f t="shared" si="59"/>
        <v>0</v>
      </c>
      <c r="AW25" s="6">
        <f t="shared" si="24"/>
        <v>1.411764705882353</v>
      </c>
      <c r="AX25" s="6">
        <f t="shared" si="60"/>
        <v>0</v>
      </c>
      <c r="AY25" s="1">
        <f t="shared" si="25"/>
        <v>0.34285714285714286</v>
      </c>
      <c r="AZ25" s="6">
        <f t="shared" si="61"/>
        <v>-26.767966360856267</v>
      </c>
      <c r="BA25" s="6">
        <f t="shared" si="26"/>
        <v>0.60869565217391308</v>
      </c>
      <c r="BB25" s="6">
        <f t="shared" si="62"/>
        <v>0</v>
      </c>
      <c r="BC25" s="6">
        <f t="shared" si="27"/>
        <v>0.41791044776119407</v>
      </c>
      <c r="BD25" s="6">
        <f t="shared" si="63"/>
        <v>0</v>
      </c>
      <c r="BE25" s="6">
        <f t="shared" si="28"/>
        <v>1.6470588235294119</v>
      </c>
      <c r="BF25" s="6">
        <f t="shared" si="64"/>
        <v>17.208519142164572</v>
      </c>
      <c r="BG25" s="6">
        <f t="shared" si="29"/>
        <v>0.4</v>
      </c>
      <c r="BH25" s="6">
        <f t="shared" si="65"/>
        <v>0</v>
      </c>
      <c r="BI25" s="6">
        <f t="shared" si="30"/>
        <v>1.4565217391304348</v>
      </c>
      <c r="BJ25" s="6">
        <f t="shared" si="66"/>
        <v>0</v>
      </c>
      <c r="BK25" s="6">
        <f t="shared" si="31"/>
        <v>0.36956521739130432</v>
      </c>
      <c r="BL25" s="6">
        <f t="shared" si="67"/>
        <v>0</v>
      </c>
      <c r="BM25" s="6">
        <f t="shared" si="32"/>
        <v>0.65714285714285714</v>
      </c>
      <c r="BN25" s="6">
        <f t="shared" si="68"/>
        <v>0</v>
      </c>
      <c r="BO25" s="6">
        <f t="shared" si="33"/>
        <v>0.2537313432835821</v>
      </c>
      <c r="BP25" s="6">
        <f t="shared" si="69"/>
        <v>0</v>
      </c>
      <c r="BQ25" s="6">
        <f t="shared" si="34"/>
        <v>0.95714285714285718</v>
      </c>
      <c r="BR25" s="6">
        <f t="shared" si="70"/>
        <v>-20.264925373134329</v>
      </c>
      <c r="BS25" s="6">
        <f t="shared" si="35"/>
        <v>0.24285714285714285</v>
      </c>
      <c r="BT25" s="6">
        <f t="shared" si="71"/>
        <v>-29.854851031321619</v>
      </c>
      <c r="BU25" s="2">
        <f t="shared" si="72"/>
        <v>-4.322673613080255</v>
      </c>
      <c r="BV25" s="2">
        <f t="shared" si="73"/>
        <v>-3.9504967600529275</v>
      </c>
      <c r="BW25" s="2">
        <f t="shared" si="74"/>
        <v>-4.2634459978268389</v>
      </c>
      <c r="BX25" s="2">
        <f t="shared" si="75"/>
        <v>-6.0618501874054704</v>
      </c>
      <c r="BY25" s="2">
        <f t="shared" si="76"/>
        <v>9.3598388852554866</v>
      </c>
      <c r="BZ25" s="2">
        <f t="shared" si="77"/>
        <v>-2.5331156716417911</v>
      </c>
      <c r="CA25" s="2">
        <f t="shared" si="78"/>
        <v>0</v>
      </c>
      <c r="CB25" s="2">
        <f t="shared" si="79"/>
        <v>-5.8829212716857739</v>
      </c>
      <c r="CC25" s="2">
        <f t="shared" si="80"/>
        <v>17.654664616437572</v>
      </c>
      <c r="CD25" s="2">
        <f t="shared" si="81"/>
        <v>54.029007003386113</v>
      </c>
    </row>
    <row r="26" spans="1:82" x14ac:dyDescent="0.2">
      <c r="A26" s="6">
        <f t="shared" si="0"/>
        <v>6.0666666666666673</v>
      </c>
      <c r="B26" s="6">
        <f t="shared" si="36"/>
        <v>-31.525720656155421</v>
      </c>
      <c r="C26" s="6">
        <f t="shared" si="1"/>
        <v>1.5294117647058825</v>
      </c>
      <c r="D26" s="6">
        <f t="shared" si="37"/>
        <v>0</v>
      </c>
      <c r="E26" s="6">
        <f t="shared" si="2"/>
        <v>0.10989010989010989</v>
      </c>
      <c r="F26" s="6">
        <f t="shared" si="38"/>
        <v>-17.646226415094333</v>
      </c>
      <c r="G26" s="6">
        <f t="shared" si="3"/>
        <v>0.14285714285714285</v>
      </c>
      <c r="H26" s="6">
        <f t="shared" si="39"/>
        <v>10.654133191957905</v>
      </c>
      <c r="I26" s="6">
        <f t="shared" si="4"/>
        <v>7.28</v>
      </c>
      <c r="J26" s="6">
        <f t="shared" si="40"/>
        <v>0</v>
      </c>
      <c r="K26" s="6">
        <f t="shared" si="5"/>
        <v>0.37912087912087911</v>
      </c>
      <c r="L26" s="6">
        <f t="shared" si="41"/>
        <v>0</v>
      </c>
      <c r="M26" s="6">
        <f t="shared" si="6"/>
        <v>7.6923076923076927E-2</v>
      </c>
      <c r="N26" s="6">
        <f t="shared" si="42"/>
        <v>-19.090909090909086</v>
      </c>
      <c r="O26" s="6">
        <f t="shared" si="7"/>
        <v>3.0333333333333332</v>
      </c>
      <c r="P26" s="6">
        <f t="shared" si="43"/>
        <v>-17.180167312793309</v>
      </c>
      <c r="Q26" s="6">
        <f t="shared" si="8"/>
        <v>3.9666666666666668</v>
      </c>
      <c r="R26" s="6">
        <f t="shared" si="44"/>
        <v>-22.830654000730721</v>
      </c>
      <c r="S26" s="6">
        <f t="shared" si="9"/>
        <v>0.66666666666666674</v>
      </c>
      <c r="T26" s="6">
        <f t="shared" si="45"/>
        <v>-36.503759398496236</v>
      </c>
      <c r="U26" s="6">
        <f t="shared" si="10"/>
        <v>0.8666666666666667</v>
      </c>
      <c r="V26" s="6">
        <f t="shared" si="46"/>
        <v>0</v>
      </c>
      <c r="W26" s="6">
        <f t="shared" si="11"/>
        <v>1.2</v>
      </c>
      <c r="X26" s="6">
        <f t="shared" si="47"/>
        <v>0</v>
      </c>
      <c r="Y26" s="6">
        <f t="shared" si="12"/>
        <v>2.2999999999999998</v>
      </c>
      <c r="Z26" s="6">
        <f t="shared" si="48"/>
        <v>-15.108695652173921</v>
      </c>
      <c r="AA26" s="6">
        <f t="shared" si="13"/>
        <v>0.46666666666666667</v>
      </c>
      <c r="AB26" s="6">
        <f t="shared" si="49"/>
        <v>-39.735894357743099</v>
      </c>
      <c r="AC26" s="6">
        <f t="shared" si="14"/>
        <v>0.5</v>
      </c>
      <c r="AD26" s="6">
        <f t="shared" si="50"/>
        <v>0</v>
      </c>
      <c r="AE26" s="6">
        <f t="shared" si="15"/>
        <v>0.16806722689075632</v>
      </c>
      <c r="AF26" s="6">
        <f t="shared" si="51"/>
        <v>0</v>
      </c>
      <c r="AG26" s="6">
        <f t="shared" si="16"/>
        <v>0.21848739495798322</v>
      </c>
      <c r="AH26" s="6">
        <f t="shared" si="52"/>
        <v>10.671268526642539</v>
      </c>
      <c r="AI26" s="6">
        <f t="shared" si="17"/>
        <v>4.76</v>
      </c>
      <c r="AJ26" s="6">
        <f t="shared" si="53"/>
        <v>0</v>
      </c>
      <c r="AK26" s="6">
        <f t="shared" si="18"/>
        <v>0.57983193277310929</v>
      </c>
      <c r="AL26" s="6">
        <f t="shared" si="54"/>
        <v>0</v>
      </c>
      <c r="AM26" s="6">
        <f t="shared" si="19"/>
        <v>0.11764705882352941</v>
      </c>
      <c r="AN26" s="6">
        <f t="shared" si="55"/>
        <v>0</v>
      </c>
      <c r="AO26" s="6">
        <f t="shared" si="20"/>
        <v>0.504201680672269</v>
      </c>
      <c r="AP26" s="6">
        <f t="shared" si="56"/>
        <v>14.152382863942561</v>
      </c>
      <c r="AQ26" s="6">
        <f t="shared" si="21"/>
        <v>0.76923076923076927</v>
      </c>
      <c r="AR26" s="6">
        <f t="shared" si="57"/>
        <v>-28.335740072202164</v>
      </c>
      <c r="AS26" s="6">
        <f t="shared" si="22"/>
        <v>0.8</v>
      </c>
      <c r="AT26" s="6">
        <f t="shared" si="58"/>
        <v>0</v>
      </c>
      <c r="AU26" s="6">
        <f t="shared" si="23"/>
        <v>3.45</v>
      </c>
      <c r="AV26" s="6">
        <f t="shared" si="59"/>
        <v>16.317992949871002</v>
      </c>
      <c r="AW26" s="6">
        <f t="shared" si="24"/>
        <v>1.4285714285714286</v>
      </c>
      <c r="AX26" s="6">
        <f t="shared" si="60"/>
        <v>0</v>
      </c>
      <c r="AY26" s="1">
        <f t="shared" si="25"/>
        <v>0.33333333333333331</v>
      </c>
      <c r="AZ26" s="6">
        <f t="shared" si="61"/>
        <v>-28.188073394495415</v>
      </c>
      <c r="BA26" s="6">
        <f t="shared" si="26"/>
        <v>1.04</v>
      </c>
      <c r="BB26" s="6">
        <f t="shared" si="62"/>
        <v>0</v>
      </c>
      <c r="BC26" s="6">
        <f t="shared" si="27"/>
        <v>0.37681159420289856</v>
      </c>
      <c r="BD26" s="6">
        <f t="shared" si="63"/>
        <v>0</v>
      </c>
      <c r="BE26" s="6">
        <f t="shared" si="28"/>
        <v>1.8571428571428572</v>
      </c>
      <c r="BF26" s="6">
        <f t="shared" si="64"/>
        <v>23.817013436390596</v>
      </c>
      <c r="BG26" s="6">
        <f t="shared" si="29"/>
        <v>0.43333333333333335</v>
      </c>
      <c r="BH26" s="6">
        <f t="shared" si="65"/>
        <v>0</v>
      </c>
      <c r="BI26" s="6">
        <f t="shared" si="30"/>
        <v>2.76</v>
      </c>
      <c r="BJ26" s="6">
        <f t="shared" si="66"/>
        <v>0</v>
      </c>
      <c r="BK26" s="6">
        <f t="shared" si="31"/>
        <v>0.56000000000000005</v>
      </c>
      <c r="BL26" s="6">
        <f t="shared" si="67"/>
        <v>0</v>
      </c>
      <c r="BM26" s="6">
        <f t="shared" si="32"/>
        <v>0.41666666666666669</v>
      </c>
      <c r="BN26" s="6">
        <f t="shared" si="68"/>
        <v>0</v>
      </c>
      <c r="BO26" s="6">
        <f t="shared" si="33"/>
        <v>0.20289855072463769</v>
      </c>
      <c r="BP26" s="6">
        <f t="shared" si="69"/>
        <v>-21.004464285714281</v>
      </c>
      <c r="BQ26" s="6">
        <f t="shared" si="34"/>
        <v>1.1499999999999999</v>
      </c>
      <c r="BR26" s="6">
        <f t="shared" si="70"/>
        <v>0</v>
      </c>
      <c r="BS26" s="6">
        <f t="shared" si="35"/>
        <v>0.23333333333333334</v>
      </c>
      <c r="BT26" s="6">
        <f t="shared" si="71"/>
        <v>-32.133580705009273</v>
      </c>
      <c r="BU26" s="2">
        <f t="shared" si="72"/>
        <v>-2.8278607068629018</v>
      </c>
      <c r="BV26" s="2">
        <f t="shared" si="73"/>
        <v>18.213090508162427</v>
      </c>
      <c r="BW26" s="2">
        <f t="shared" si="74"/>
        <v>-5.9567881739144779</v>
      </c>
      <c r="BX26" s="2">
        <f t="shared" si="75"/>
        <v>-15.873974028769894</v>
      </c>
      <c r="BY26" s="2">
        <f t="shared" si="76"/>
        <v>9.1847694033991498</v>
      </c>
      <c r="BZ26" s="2">
        <f t="shared" si="77"/>
        <v>2.7767201979264202</v>
      </c>
      <c r="CA26" s="2">
        <f t="shared" si="78"/>
        <v>0</v>
      </c>
      <c r="CB26" s="2">
        <f t="shared" si="79"/>
        <v>-16.972732734470792</v>
      </c>
      <c r="CC26" s="2">
        <f t="shared" si="80"/>
        <v>11.45677553453007</v>
      </c>
      <c r="CD26" s="2">
        <f t="shared" si="81"/>
        <v>83.26271128803613</v>
      </c>
    </row>
  </sheetData>
  <sheetProtection sheet="1" objects="1" scenarios="1"/>
  <phoneticPr fontId="2" type="noConversion"/>
  <pageMargins left="0.75" right="0.75" top="1" bottom="1" header="0.5" footer="0.5"/>
  <pageSetup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26"/>
  <sheetViews>
    <sheetView topLeftCell="A2" workbookViewId="0">
      <pane ySplit="7" topLeftCell="A9" activePane="bottomLeft" state="frozen"/>
      <selection activeCell="A26" sqref="A26"/>
      <selection pane="bottomLeft" activeCell="N4" sqref="N4"/>
    </sheetView>
  </sheetViews>
  <sheetFormatPr defaultRowHeight="12.75" x14ac:dyDescent="0.2"/>
  <cols>
    <col min="1" max="1" width="23.42578125" customWidth="1"/>
    <col min="2" max="2" width="7.28515625" style="70" customWidth="1"/>
    <col min="3" max="6" width="7.28515625" style="39" customWidth="1"/>
    <col min="7" max="7" width="7.28515625" style="70" customWidth="1"/>
    <col min="8" max="10" width="7.28515625" style="39" customWidth="1"/>
    <col min="11" max="11" width="8.5703125" style="71" customWidth="1"/>
  </cols>
  <sheetData>
    <row r="1" spans="1:11" ht="13.5" thickTop="1" x14ac:dyDescent="0.2">
      <c r="A1" s="137" t="s">
        <v>135</v>
      </c>
      <c r="B1" s="138"/>
      <c r="C1" s="138"/>
      <c r="D1" s="138"/>
      <c r="E1" s="138"/>
      <c r="F1" s="138"/>
      <c r="G1" s="138"/>
      <c r="H1" s="138"/>
      <c r="I1" s="138"/>
      <c r="J1" s="138"/>
      <c r="K1" s="139"/>
    </row>
    <row r="2" spans="1:11" x14ac:dyDescent="0.2">
      <c r="A2" s="142" t="s">
        <v>174</v>
      </c>
      <c r="B2" s="142"/>
      <c r="C2" s="142"/>
      <c r="D2" s="142"/>
      <c r="E2" s="142"/>
      <c r="F2" s="142"/>
      <c r="G2" s="142"/>
      <c r="H2" s="142"/>
      <c r="I2" s="142"/>
      <c r="J2" s="142"/>
      <c r="K2" s="143"/>
    </row>
    <row r="3" spans="1:11" x14ac:dyDescent="0.2">
      <c r="A3" s="24" t="s">
        <v>169</v>
      </c>
      <c r="B3" s="37"/>
      <c r="C3" s="37"/>
      <c r="D3" s="37"/>
      <c r="E3" s="37"/>
      <c r="F3" s="37"/>
      <c r="G3" s="37"/>
      <c r="H3" s="37"/>
      <c r="I3" s="37"/>
      <c r="J3" s="37"/>
      <c r="K3" s="64"/>
    </row>
    <row r="4" spans="1:11" x14ac:dyDescent="0.2">
      <c r="A4" s="24" t="s">
        <v>172</v>
      </c>
      <c r="B4" s="37"/>
      <c r="C4" s="37"/>
      <c r="D4" s="37"/>
      <c r="E4" s="37"/>
      <c r="F4" s="37"/>
      <c r="G4" s="37"/>
      <c r="H4" s="37"/>
      <c r="I4" s="37"/>
      <c r="J4" s="37"/>
      <c r="K4" s="64"/>
    </row>
    <row r="5" spans="1:11" x14ac:dyDescent="0.2">
      <c r="A5" t="s">
        <v>173</v>
      </c>
      <c r="B5" s="37"/>
      <c r="C5" s="37"/>
      <c r="D5" s="37"/>
      <c r="E5" s="37"/>
      <c r="F5" s="37"/>
      <c r="G5" s="37"/>
      <c r="H5" s="37"/>
      <c r="I5" s="37"/>
      <c r="J5" s="37"/>
      <c r="K5" s="64"/>
    </row>
    <row r="6" spans="1:11" ht="13.5" thickBot="1" x14ac:dyDescent="0.25">
      <c r="A6" s="24" t="s">
        <v>170</v>
      </c>
      <c r="B6" s="37"/>
      <c r="C6" s="37"/>
      <c r="D6" s="37"/>
      <c r="E6" s="37"/>
      <c r="F6" s="37"/>
      <c r="G6" s="39"/>
      <c r="H6" s="37"/>
      <c r="I6" s="37"/>
      <c r="J6" s="37"/>
      <c r="K6" s="64"/>
    </row>
    <row r="7" spans="1:11" ht="13.5" thickTop="1" x14ac:dyDescent="0.2">
      <c r="A7" s="135" t="s">
        <v>157</v>
      </c>
      <c r="B7" s="133" t="s">
        <v>136</v>
      </c>
      <c r="C7" s="133" t="s">
        <v>137</v>
      </c>
      <c r="D7" s="133" t="s">
        <v>138</v>
      </c>
      <c r="E7" s="133" t="s">
        <v>139</v>
      </c>
      <c r="F7" s="133" t="s">
        <v>140</v>
      </c>
      <c r="G7" s="133" t="s">
        <v>141</v>
      </c>
      <c r="H7" s="133" t="s">
        <v>142</v>
      </c>
      <c r="I7" s="133" t="s">
        <v>143</v>
      </c>
      <c r="J7" s="133" t="s">
        <v>144</v>
      </c>
      <c r="K7" s="140" t="s">
        <v>90</v>
      </c>
    </row>
    <row r="8" spans="1:11" ht="13.5" thickBot="1" x14ac:dyDescent="0.25">
      <c r="A8" s="136"/>
      <c r="B8" s="134"/>
      <c r="C8" s="134"/>
      <c r="D8" s="134"/>
      <c r="E8" s="134"/>
      <c r="F8" s="134"/>
      <c r="G8" s="134"/>
      <c r="H8" s="134"/>
      <c r="I8" s="134"/>
      <c r="J8" s="134"/>
      <c r="K8" s="141"/>
    </row>
    <row r="9" spans="1:11" ht="13.5" thickTop="1" x14ac:dyDescent="0.2">
      <c r="A9" t="str">
        <f>LeafConcentrationsEntry!A9</f>
        <v>Fielda</v>
      </c>
      <c r="B9" s="65">
        <f t="shared" ref="B9:B26" si="0">DRISN</f>
        <v>31.659481901228723</v>
      </c>
      <c r="C9" s="57">
        <f t="shared" ref="C9:C26" si="1">DRISP</f>
        <v>7.0576331451132877</v>
      </c>
      <c r="D9" s="59">
        <f t="shared" ref="D9:D26" si="2">DRISK</f>
        <v>11.266839352208876</v>
      </c>
      <c r="E9" s="57">
        <f t="shared" ref="E9:E26" si="3">DRISCA</f>
        <v>8.3966834689570238</v>
      </c>
      <c r="F9" s="58">
        <f t="shared" ref="F9:F26" si="4">DRISMG</f>
        <v>-18.385834881413132</v>
      </c>
      <c r="G9" s="66">
        <f t="shared" ref="G9:G26" si="5">DRISFE</f>
        <v>-19.769491785024641</v>
      </c>
      <c r="H9" s="58">
        <f t="shared" ref="H9:H26" si="6">DRISMN</f>
        <v>-29.479644375319634</v>
      </c>
      <c r="I9" s="57">
        <f t="shared" ref="I9:I26" si="7">DRISZN</f>
        <v>3.8324623808479816</v>
      </c>
      <c r="J9" s="57">
        <f t="shared" ref="J9:J26" si="8">DRISCU</f>
        <v>5.4218707934015136</v>
      </c>
      <c r="K9" s="67">
        <f t="shared" ref="K9:K26" si="9">DRISNBI</f>
        <v>135.26994208351482</v>
      </c>
    </row>
    <row r="10" spans="1:11" x14ac:dyDescent="0.2">
      <c r="A10" t="str">
        <f>LeafConcentrationsEntry!A10</f>
        <v>Fieldb</v>
      </c>
      <c r="B10" s="65">
        <f t="shared" si="0"/>
        <v>13.402339829056643</v>
      </c>
      <c r="C10" s="57">
        <f t="shared" si="1"/>
        <v>1.0665950097890289</v>
      </c>
      <c r="D10" s="57">
        <f t="shared" si="2"/>
        <v>8.8753645435990975</v>
      </c>
      <c r="E10" s="59">
        <f t="shared" si="3"/>
        <v>13.909632615162394</v>
      </c>
      <c r="F10" s="58">
        <f t="shared" si="4"/>
        <v>-11.38112164857837</v>
      </c>
      <c r="G10" s="66">
        <f t="shared" si="5"/>
        <v>-13.141095075187536</v>
      </c>
      <c r="H10" s="58">
        <f t="shared" si="6"/>
        <v>-15.820275899177631</v>
      </c>
      <c r="I10" s="57">
        <f t="shared" si="7"/>
        <v>-2.1637712496526964</v>
      </c>
      <c r="J10" s="57">
        <f t="shared" si="8"/>
        <v>5.2523318749890686</v>
      </c>
      <c r="K10" s="67">
        <f t="shared" si="9"/>
        <v>85.012527745192472</v>
      </c>
    </row>
    <row r="11" spans="1:11" x14ac:dyDescent="0.2">
      <c r="A11" t="str">
        <f>LeafConcentrationsEntry!A11</f>
        <v>Fieldc</v>
      </c>
      <c r="B11" s="65">
        <f t="shared" si="0"/>
        <v>11.272654995678343</v>
      </c>
      <c r="C11" s="57">
        <f t="shared" si="1"/>
        <v>4.0779337315255129</v>
      </c>
      <c r="D11" s="57">
        <f t="shared" si="2"/>
        <v>6.1700227332040569</v>
      </c>
      <c r="E11" s="57">
        <f t="shared" si="3"/>
        <v>3.6006140013876786</v>
      </c>
      <c r="F11" s="57">
        <f t="shared" si="4"/>
        <v>-6.5045333459238854</v>
      </c>
      <c r="G11" s="66">
        <f t="shared" si="5"/>
        <v>-16.916835954373056</v>
      </c>
      <c r="H11" s="57">
        <f t="shared" si="6"/>
        <v>-5.4629487174411615</v>
      </c>
      <c r="I11" s="57">
        <f t="shared" si="7"/>
        <v>-5.1266749123891984</v>
      </c>
      <c r="J11" s="57">
        <f t="shared" si="8"/>
        <v>8.8897674683317085</v>
      </c>
      <c r="K11" s="68">
        <f t="shared" si="9"/>
        <v>68.021985860254603</v>
      </c>
    </row>
    <row r="12" spans="1:11" x14ac:dyDescent="0.2">
      <c r="A12" t="str">
        <f>LeafConcentrationsEntry!A12</f>
        <v>Fieldd</v>
      </c>
      <c r="B12" s="65">
        <f t="shared" si="0"/>
        <v>15.026681334436343</v>
      </c>
      <c r="C12" s="57">
        <f t="shared" si="1"/>
        <v>-5.8475211911100384</v>
      </c>
      <c r="D12" s="57">
        <f t="shared" si="2"/>
        <v>6.9548446762001994</v>
      </c>
      <c r="E12" s="57">
        <f t="shared" si="3"/>
        <v>6.1699692154594796</v>
      </c>
      <c r="F12" s="57">
        <f t="shared" si="4"/>
        <v>-9.3064466535909354</v>
      </c>
      <c r="G12" s="69">
        <f t="shared" si="5"/>
        <v>-8.7171933341372867</v>
      </c>
      <c r="H12" s="58">
        <f t="shared" si="6"/>
        <v>-15.970807869889807</v>
      </c>
      <c r="I12" s="57">
        <f t="shared" si="7"/>
        <v>-3.0657732504093684</v>
      </c>
      <c r="J12" s="59">
        <f t="shared" si="8"/>
        <v>14.756247073041411</v>
      </c>
      <c r="K12" s="67">
        <f t="shared" si="9"/>
        <v>85.81548459827485</v>
      </c>
    </row>
    <row r="13" spans="1:11" x14ac:dyDescent="0.2">
      <c r="A13" t="str">
        <f>LeafConcentrationsEntry!A13</f>
        <v>Fielde</v>
      </c>
      <c r="B13" s="65">
        <f t="shared" si="0"/>
        <v>15.74518281503364</v>
      </c>
      <c r="C13" s="57">
        <f t="shared" si="1"/>
        <v>4.2206717380824408</v>
      </c>
      <c r="D13" s="57">
        <f t="shared" si="2"/>
        <v>6.1052300678965681</v>
      </c>
      <c r="E13" s="59">
        <f t="shared" si="3"/>
        <v>10.554583000732297</v>
      </c>
      <c r="F13" s="58">
        <f t="shared" si="4"/>
        <v>-30.560384220347096</v>
      </c>
      <c r="G13" s="69">
        <f t="shared" si="5"/>
        <v>-8.2695119916012878</v>
      </c>
      <c r="H13" s="57">
        <f t="shared" si="6"/>
        <v>0</v>
      </c>
      <c r="I13" s="57">
        <f t="shared" si="7"/>
        <v>-2.1679609635841803</v>
      </c>
      <c r="J13" s="57">
        <f t="shared" si="8"/>
        <v>4.3721895537876163</v>
      </c>
      <c r="K13" s="67">
        <f t="shared" si="9"/>
        <v>81.995714351065132</v>
      </c>
    </row>
    <row r="14" spans="1:11" x14ac:dyDescent="0.2">
      <c r="A14" t="str">
        <f>LeafConcentrationsEntry!A14</f>
        <v>Fieldf</v>
      </c>
      <c r="B14" s="69">
        <f t="shared" si="0"/>
        <v>8.1626315373548124</v>
      </c>
      <c r="C14" s="57">
        <f t="shared" si="1"/>
        <v>9.3461662707182072</v>
      </c>
      <c r="D14" s="57">
        <f t="shared" si="2"/>
        <v>4.3062557811948885</v>
      </c>
      <c r="E14" s="59">
        <f t="shared" si="3"/>
        <v>14.262439506102069</v>
      </c>
      <c r="F14" s="58">
        <f t="shared" si="4"/>
        <v>-25.320373749088745</v>
      </c>
      <c r="G14" s="66">
        <f t="shared" si="5"/>
        <v>-21.111240467536163</v>
      </c>
      <c r="H14" s="59">
        <f t="shared" si="6"/>
        <v>15.7166764423643</v>
      </c>
      <c r="I14" s="57">
        <f t="shared" si="7"/>
        <v>-7.7411338711734619</v>
      </c>
      <c r="J14" s="57">
        <f t="shared" si="8"/>
        <v>2.378578550064093</v>
      </c>
      <c r="K14" s="67">
        <f t="shared" si="9"/>
        <v>108.34549617559674</v>
      </c>
    </row>
    <row r="15" spans="1:11" x14ac:dyDescent="0.2">
      <c r="A15" t="str">
        <f>LeafConcentrationsEntry!A15</f>
        <v>Fieldg</v>
      </c>
      <c r="B15" s="65">
        <f t="shared" si="0"/>
        <v>11.896718229894095</v>
      </c>
      <c r="C15" s="57">
        <f t="shared" si="1"/>
        <v>1.1249633854354111</v>
      </c>
      <c r="D15" s="57">
        <f t="shared" si="2"/>
        <v>1.2114800785996487</v>
      </c>
      <c r="E15" s="59">
        <f t="shared" si="3"/>
        <v>15.829168665290915</v>
      </c>
      <c r="F15" s="57">
        <f t="shared" si="4"/>
        <v>-6.2581928644482705</v>
      </c>
      <c r="G15" s="66">
        <f t="shared" si="5"/>
        <v>-14.055014832681003</v>
      </c>
      <c r="H15" s="57">
        <f t="shared" si="6"/>
        <v>0</v>
      </c>
      <c r="I15" s="57">
        <f t="shared" si="7"/>
        <v>-5.8943964363444836</v>
      </c>
      <c r="J15" s="57">
        <f t="shared" si="8"/>
        <v>-3.85472622574631</v>
      </c>
      <c r="K15" s="68">
        <f t="shared" si="9"/>
        <v>60.12466071844014</v>
      </c>
    </row>
    <row r="16" spans="1:11" x14ac:dyDescent="0.2">
      <c r="A16" t="str">
        <f>LeafConcentrationsEntry!A16</f>
        <v>Fieldh</v>
      </c>
      <c r="B16" s="69">
        <f t="shared" si="0"/>
        <v>-0.47539563346115399</v>
      </c>
      <c r="C16" s="58">
        <f t="shared" si="1"/>
        <v>-12.5335102665373</v>
      </c>
      <c r="D16" s="57">
        <f t="shared" si="2"/>
        <v>-1.5552345981288931</v>
      </c>
      <c r="E16" s="59">
        <f t="shared" si="3"/>
        <v>20.962094077985057</v>
      </c>
      <c r="F16" s="57">
        <f t="shared" si="4"/>
        <v>-3.3363513144443595</v>
      </c>
      <c r="G16" s="69">
        <f t="shared" si="5"/>
        <v>0.73164112973780648</v>
      </c>
      <c r="H16" s="58">
        <f t="shared" si="6"/>
        <v>-22.734160946783899</v>
      </c>
      <c r="I16" s="57">
        <f t="shared" si="7"/>
        <v>1.697627484255118</v>
      </c>
      <c r="J16" s="59">
        <f t="shared" si="8"/>
        <v>17.243290067377625</v>
      </c>
      <c r="K16" s="67">
        <f t="shared" si="9"/>
        <v>81.269305518711221</v>
      </c>
    </row>
    <row r="17" spans="1:11" x14ac:dyDescent="0.2">
      <c r="A17" t="str">
        <f>LeafConcentrationsEntry!A17</f>
        <v>Fieldi</v>
      </c>
      <c r="B17" s="69">
        <f t="shared" si="0"/>
        <v>7.4918142791318418</v>
      </c>
      <c r="C17" s="57">
        <f t="shared" si="1"/>
        <v>0.73962138171463132</v>
      </c>
      <c r="D17" s="57">
        <f t="shared" si="2"/>
        <v>2.2264826672570921</v>
      </c>
      <c r="E17" s="59">
        <f t="shared" si="3"/>
        <v>13.901400513467948</v>
      </c>
      <c r="F17" s="57">
        <f t="shared" si="4"/>
        <v>-3.244502760208186</v>
      </c>
      <c r="G17" s="69">
        <f t="shared" si="5"/>
        <v>-6.6165014611293422</v>
      </c>
      <c r="H17" s="58">
        <f t="shared" si="6"/>
        <v>-16.349694095365994</v>
      </c>
      <c r="I17" s="57">
        <f t="shared" si="7"/>
        <v>-4.8986173040455903</v>
      </c>
      <c r="J17" s="57">
        <f t="shared" si="8"/>
        <v>6.7499967791776001</v>
      </c>
      <c r="K17" s="68">
        <f t="shared" si="9"/>
        <v>62.218631241498223</v>
      </c>
    </row>
    <row r="18" spans="1:11" x14ac:dyDescent="0.2">
      <c r="A18" t="str">
        <f>LeafConcentrationsEntry!A18</f>
        <v>Fieldj</v>
      </c>
      <c r="B18" s="69">
        <f t="shared" si="0"/>
        <v>1.1811457240623895</v>
      </c>
      <c r="C18" s="57">
        <f t="shared" si="1"/>
        <v>-2.5805301288762492</v>
      </c>
      <c r="D18" s="59">
        <f t="shared" si="2"/>
        <v>20.296213578044178</v>
      </c>
      <c r="E18" s="59">
        <f t="shared" si="3"/>
        <v>22.362369529213606</v>
      </c>
      <c r="F18" s="58">
        <f t="shared" si="4"/>
        <v>-22.059181294488297</v>
      </c>
      <c r="G18" s="69">
        <f t="shared" si="5"/>
        <v>-3.8573390328473489</v>
      </c>
      <c r="H18" s="58">
        <f t="shared" si="6"/>
        <v>-29.525646223828257</v>
      </c>
      <c r="I18" s="57">
        <f t="shared" si="7"/>
        <v>-3.3185628716171038</v>
      </c>
      <c r="J18" s="59">
        <f t="shared" si="8"/>
        <v>17.50153072033709</v>
      </c>
      <c r="K18" s="67">
        <f t="shared" si="9"/>
        <v>122.68251910331452</v>
      </c>
    </row>
    <row r="19" spans="1:11" x14ac:dyDescent="0.2">
      <c r="A19" t="str">
        <f>LeafConcentrationsEntry!A19</f>
        <v>Field1</v>
      </c>
      <c r="B19" s="69">
        <f t="shared" si="0"/>
        <v>1.7171717171717158</v>
      </c>
      <c r="C19" s="57">
        <f t="shared" si="1"/>
        <v>1.7757629367536498</v>
      </c>
      <c r="D19" s="57">
        <f t="shared" si="2"/>
        <v>1.7854064201598567</v>
      </c>
      <c r="E19" s="57">
        <f t="shared" si="3"/>
        <v>0</v>
      </c>
      <c r="F19" s="57">
        <f t="shared" si="4"/>
        <v>1.469346533997782</v>
      </c>
      <c r="G19" s="69">
        <f t="shared" si="5"/>
        <v>0</v>
      </c>
      <c r="H19" s="57">
        <f t="shared" si="6"/>
        <v>-1.7854064201598567</v>
      </c>
      <c r="I19" s="57">
        <f t="shared" si="7"/>
        <v>-4.9622811879231472</v>
      </c>
      <c r="J19" s="57">
        <f t="shared" si="8"/>
        <v>0</v>
      </c>
      <c r="K19" s="68">
        <f t="shared" si="9"/>
        <v>13.495375216166007</v>
      </c>
    </row>
    <row r="20" spans="1:11" x14ac:dyDescent="0.2">
      <c r="A20" t="str">
        <f>LeafConcentrationsEntry!A20</f>
        <v>Field2</v>
      </c>
      <c r="B20" s="65">
        <f t="shared" si="0"/>
        <v>16.411146617652484</v>
      </c>
      <c r="C20" s="57">
        <f t="shared" si="1"/>
        <v>4.2958219713768226</v>
      </c>
      <c r="D20" s="59">
        <f t="shared" si="2"/>
        <v>10.899846572320307</v>
      </c>
      <c r="E20" s="58">
        <f t="shared" si="3"/>
        <v>-15.027674890129855</v>
      </c>
      <c r="F20" s="58">
        <f t="shared" si="4"/>
        <v>-15.907644326392216</v>
      </c>
      <c r="G20" s="65">
        <f t="shared" si="5"/>
        <v>11.457019750897096</v>
      </c>
      <c r="H20" s="58">
        <f t="shared" si="6"/>
        <v>-10.252073764811076</v>
      </c>
      <c r="I20" s="58">
        <f t="shared" si="7"/>
        <v>-11.86058302306663</v>
      </c>
      <c r="J20" s="57">
        <f t="shared" si="8"/>
        <v>9.9841410921530649</v>
      </c>
      <c r="K20" s="67">
        <f t="shared" si="9"/>
        <v>106.09595200879956</v>
      </c>
    </row>
    <row r="21" spans="1:11" x14ac:dyDescent="0.2">
      <c r="A21" t="str">
        <f>LeafConcentrationsEntry!A21</f>
        <v>Field3</v>
      </c>
      <c r="B21" s="69">
        <f t="shared" si="0"/>
        <v>-2.7492923664705651</v>
      </c>
      <c r="C21" s="57">
        <f t="shared" si="1"/>
        <v>7.0999046057144133</v>
      </c>
      <c r="D21" s="57">
        <f t="shared" si="2"/>
        <v>3.5897734549767222</v>
      </c>
      <c r="E21" s="57">
        <f t="shared" si="3"/>
        <v>-1.2117175112540466</v>
      </c>
      <c r="F21" s="57">
        <f t="shared" si="4"/>
        <v>6.0537547786449322</v>
      </c>
      <c r="G21" s="69">
        <f t="shared" si="5"/>
        <v>5.1538757332544076</v>
      </c>
      <c r="H21" s="57">
        <f t="shared" si="6"/>
        <v>-6.4903303372277383</v>
      </c>
      <c r="I21" s="58">
        <f t="shared" si="7"/>
        <v>-24.981901701573598</v>
      </c>
      <c r="J21" s="59">
        <f t="shared" si="8"/>
        <v>13.535933343935472</v>
      </c>
      <c r="K21" s="68">
        <f t="shared" si="9"/>
        <v>70.866483833051902</v>
      </c>
    </row>
    <row r="22" spans="1:11" x14ac:dyDescent="0.2">
      <c r="A22" t="str">
        <f>LeafConcentrationsEntry!A22</f>
        <v>Field4</v>
      </c>
      <c r="B22" s="69">
        <f t="shared" si="0"/>
        <v>2.6543528258217028</v>
      </c>
      <c r="C22" s="57">
        <f t="shared" si="1"/>
        <v>3.9564961863234629</v>
      </c>
      <c r="D22" s="57">
        <f t="shared" si="2"/>
        <v>-0.12179362732396548</v>
      </c>
      <c r="E22" s="57">
        <f t="shared" si="3"/>
        <v>-2.6364204387670087</v>
      </c>
      <c r="F22" s="59">
        <f t="shared" si="4"/>
        <v>10.835507136294964</v>
      </c>
      <c r="G22" s="69">
        <f t="shared" si="5"/>
        <v>3.4860567011083852</v>
      </c>
      <c r="H22" s="57">
        <f t="shared" si="6"/>
        <v>-1.301899619936026</v>
      </c>
      <c r="I22" s="58">
        <f t="shared" si="7"/>
        <v>-10.261463434666425</v>
      </c>
      <c r="J22" s="57">
        <f t="shared" si="8"/>
        <v>-6.6108357288550916</v>
      </c>
      <c r="K22" s="68">
        <f t="shared" si="9"/>
        <v>41.864825699097032</v>
      </c>
    </row>
    <row r="23" spans="1:11" x14ac:dyDescent="0.2">
      <c r="A23" t="str">
        <f>LeafConcentrationsEntry!A23</f>
        <v>Field5</v>
      </c>
      <c r="B23" s="69">
        <f t="shared" si="0"/>
        <v>-1.4414082028990023</v>
      </c>
      <c r="C23" s="57">
        <f t="shared" si="1"/>
        <v>2.1993172268907561</v>
      </c>
      <c r="D23" s="57">
        <f t="shared" si="2"/>
        <v>6.0903302158447543</v>
      </c>
      <c r="E23" s="57">
        <f t="shared" si="3"/>
        <v>-4.7978307149928048</v>
      </c>
      <c r="F23" s="57">
        <f t="shared" si="4"/>
        <v>4.9437532777632445</v>
      </c>
      <c r="G23" s="69">
        <f t="shared" si="5"/>
        <v>-2.2081035489023595</v>
      </c>
      <c r="H23" s="57">
        <f t="shared" si="6"/>
        <v>0</v>
      </c>
      <c r="I23" s="58">
        <f t="shared" si="7"/>
        <v>-16.161705693358595</v>
      </c>
      <c r="J23" s="59">
        <f t="shared" si="8"/>
        <v>11.375647439654006</v>
      </c>
      <c r="K23" s="68">
        <f t="shared" si="9"/>
        <v>49.21809632030552</v>
      </c>
    </row>
    <row r="24" spans="1:11" x14ac:dyDescent="0.2">
      <c r="A24" t="str">
        <f>LeafConcentrationsEntry!A24</f>
        <v>Field6</v>
      </c>
      <c r="B24" s="69">
        <f t="shared" si="0"/>
        <v>-4.3156625331226515</v>
      </c>
      <c r="C24" s="59">
        <f t="shared" si="1"/>
        <v>15.815434619869272</v>
      </c>
      <c r="D24" s="59">
        <f t="shared" si="2"/>
        <v>10.537248794133541</v>
      </c>
      <c r="E24" s="58">
        <f t="shared" si="3"/>
        <v>-13.087010753402163</v>
      </c>
      <c r="F24" s="57">
        <f t="shared" si="4"/>
        <v>-7.4124079474445743</v>
      </c>
      <c r="G24" s="69">
        <f t="shared" si="5"/>
        <v>-2.1375983705097985</v>
      </c>
      <c r="H24" s="57">
        <f t="shared" si="6"/>
        <v>0</v>
      </c>
      <c r="I24" s="57">
        <f t="shared" si="7"/>
        <v>-7.2875303903910602</v>
      </c>
      <c r="J24" s="57">
        <f t="shared" si="8"/>
        <v>7.8875265808674317</v>
      </c>
      <c r="K24" s="68">
        <f t="shared" si="9"/>
        <v>68.480419989740497</v>
      </c>
    </row>
    <row r="25" spans="1:11" x14ac:dyDescent="0.2">
      <c r="A25" t="str">
        <f>LeafConcentrationsEntry!A25</f>
        <v>Field7</v>
      </c>
      <c r="B25" s="69">
        <f t="shared" si="0"/>
        <v>-4.322673613080255</v>
      </c>
      <c r="C25" s="57">
        <f t="shared" si="1"/>
        <v>-3.9504967600529275</v>
      </c>
      <c r="D25" s="57">
        <f t="shared" si="2"/>
        <v>-4.2634459978268389</v>
      </c>
      <c r="E25" s="57">
        <f t="shared" si="3"/>
        <v>-6.0618501874054704</v>
      </c>
      <c r="F25" s="57">
        <f t="shared" si="4"/>
        <v>9.3598388852554866</v>
      </c>
      <c r="G25" s="69">
        <f t="shared" si="5"/>
        <v>-2.5331156716417911</v>
      </c>
      <c r="H25" s="57">
        <f t="shared" si="6"/>
        <v>0</v>
      </c>
      <c r="I25" s="57">
        <f t="shared" si="7"/>
        <v>-5.8829212716857739</v>
      </c>
      <c r="J25" s="59">
        <f t="shared" si="8"/>
        <v>17.654664616437572</v>
      </c>
      <c r="K25" s="68">
        <f t="shared" si="9"/>
        <v>54.029007003386113</v>
      </c>
    </row>
    <row r="26" spans="1:11" x14ac:dyDescent="0.2">
      <c r="A26" t="str">
        <f>LeafConcentrationsEntry!A26</f>
        <v>Field8</v>
      </c>
      <c r="B26" s="69">
        <f t="shared" si="0"/>
        <v>-2.8278607068629018</v>
      </c>
      <c r="C26" s="59">
        <f t="shared" si="1"/>
        <v>18.213090508162427</v>
      </c>
      <c r="D26" s="57">
        <f t="shared" si="2"/>
        <v>-5.9567881739144779</v>
      </c>
      <c r="E26" s="58">
        <f t="shared" si="3"/>
        <v>-15.873974028769894</v>
      </c>
      <c r="F26" s="57">
        <f t="shared" si="4"/>
        <v>9.1847694033991498</v>
      </c>
      <c r="G26" s="69">
        <f t="shared" si="5"/>
        <v>2.7767201979264202</v>
      </c>
      <c r="H26" s="57">
        <f t="shared" si="6"/>
        <v>0</v>
      </c>
      <c r="I26" s="58">
        <f t="shared" si="7"/>
        <v>-16.972732734470792</v>
      </c>
      <c r="J26" s="59">
        <f t="shared" si="8"/>
        <v>11.45677553453007</v>
      </c>
      <c r="K26" s="67">
        <f t="shared" si="9"/>
        <v>83.26271128803613</v>
      </c>
    </row>
  </sheetData>
  <mergeCells count="13">
    <mergeCell ref="E7:E8"/>
    <mergeCell ref="D7:D8"/>
    <mergeCell ref="A2:K2"/>
    <mergeCell ref="C7:C8"/>
    <mergeCell ref="B7:B8"/>
    <mergeCell ref="A7:A8"/>
    <mergeCell ref="A1:K1"/>
    <mergeCell ref="K7:K8"/>
    <mergeCell ref="J7:J8"/>
    <mergeCell ref="I7:I8"/>
    <mergeCell ref="H7:H8"/>
    <mergeCell ref="G7:G8"/>
    <mergeCell ref="F7:F8"/>
  </mergeCells>
  <phoneticPr fontId="2" type="noConversion"/>
  <pageMargins left="0.75" right="0.75" top="1" bottom="1" header="0.5" footer="0.5"/>
  <pageSetup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6"/>
  <sheetViews>
    <sheetView topLeftCell="A2" zoomScale="90" workbookViewId="0">
      <pane ySplit="7" topLeftCell="A9" activePane="bottomLeft" state="frozen"/>
      <selection activeCell="A26" sqref="A26"/>
      <selection pane="bottomLeft" activeCell="N32" sqref="N32"/>
    </sheetView>
  </sheetViews>
  <sheetFormatPr defaultRowHeight="12.75" x14ac:dyDescent="0.2"/>
  <cols>
    <col min="1" max="1" width="22.140625" customWidth="1"/>
    <col min="2" max="2" width="7.28515625" style="21" customWidth="1"/>
    <col min="3" max="3" width="7.28515625" style="34" customWidth="1"/>
    <col min="4" max="4" width="7.28515625" style="20" customWidth="1"/>
    <col min="5" max="5" width="7.28515625" style="39" customWidth="1"/>
    <col min="6" max="6" width="7.28515625" style="21" customWidth="1"/>
    <col min="7" max="7" width="7.28515625" style="34" customWidth="1"/>
    <col min="8" max="8" width="7.28515625" style="20" customWidth="1"/>
    <col min="9" max="9" width="7.28515625" style="39" customWidth="1"/>
    <col min="10" max="10" width="7.28515625" style="21" customWidth="1"/>
    <col min="11" max="11" width="7.28515625" style="34" customWidth="1"/>
    <col min="12" max="12" width="7.28515625" customWidth="1"/>
    <col min="13" max="13" width="7.28515625" style="39" customWidth="1"/>
    <col min="14" max="14" width="7.28515625" style="15" customWidth="1"/>
    <col min="15" max="15" width="7.28515625" style="34" customWidth="1"/>
    <col min="16" max="16" width="7.28515625" customWidth="1"/>
    <col min="17" max="17" width="7.28515625" style="39" customWidth="1"/>
    <col min="18" max="18" width="7.28515625" style="15" customWidth="1"/>
    <col min="19" max="19" width="7.28515625" style="34" customWidth="1"/>
    <col min="20" max="20" width="9.140625" style="39"/>
    <col min="21" max="21" width="9.140625" style="24"/>
  </cols>
  <sheetData>
    <row r="1" spans="1:20" ht="14.25" thickTop="1" thickBot="1" x14ac:dyDescent="0.25">
      <c r="A1" s="23"/>
      <c r="B1" s="27"/>
      <c r="C1" s="33"/>
      <c r="D1" s="30"/>
      <c r="E1" s="36"/>
      <c r="F1" s="27"/>
      <c r="G1" s="33"/>
      <c r="H1" s="30"/>
      <c r="I1" s="36"/>
      <c r="J1" s="27"/>
      <c r="K1" s="33"/>
      <c r="L1" s="16"/>
      <c r="M1" s="36"/>
      <c r="N1" s="26"/>
      <c r="O1" s="33"/>
      <c r="P1" s="16"/>
      <c r="Q1" s="36"/>
      <c r="R1" s="26"/>
      <c r="S1" s="33"/>
      <c r="T1" s="36"/>
    </row>
    <row r="2" spans="1:20" ht="13.5" thickTop="1" x14ac:dyDescent="0.2">
      <c r="A2" s="144" t="s">
        <v>175</v>
      </c>
      <c r="B2" s="145"/>
      <c r="C2" s="145"/>
      <c r="D2" s="145"/>
      <c r="E2" s="145"/>
      <c r="F2" s="145"/>
      <c r="G2" s="145"/>
      <c r="H2" s="145"/>
      <c r="I2" s="145"/>
      <c r="J2" s="145"/>
      <c r="K2" s="145"/>
      <c r="L2" s="145"/>
      <c r="M2" s="145"/>
      <c r="N2" s="145"/>
      <c r="O2" s="145"/>
      <c r="P2" s="145"/>
      <c r="Q2" s="145"/>
      <c r="R2" s="145"/>
      <c r="S2" s="145"/>
      <c r="T2" s="146"/>
    </row>
    <row r="3" spans="1:20" x14ac:dyDescent="0.2">
      <c r="A3" s="24" t="s">
        <v>169</v>
      </c>
      <c r="D3" s="31"/>
      <c r="E3" s="37"/>
      <c r="G3" s="37"/>
      <c r="H3" s="31"/>
      <c r="I3" s="37"/>
      <c r="J3" s="31"/>
      <c r="K3" s="37"/>
      <c r="L3" s="22"/>
      <c r="M3" s="37"/>
      <c r="N3" s="22"/>
      <c r="O3" s="37"/>
      <c r="P3" s="22"/>
      <c r="Q3" s="37"/>
      <c r="R3" s="22"/>
      <c r="S3" s="37"/>
      <c r="T3" s="64"/>
    </row>
    <row r="4" spans="1:20" x14ac:dyDescent="0.2">
      <c r="A4" s="24" t="s">
        <v>168</v>
      </c>
      <c r="D4" s="31"/>
      <c r="E4" s="37"/>
      <c r="G4" s="37"/>
      <c r="H4" s="31"/>
      <c r="I4" s="37"/>
      <c r="J4" s="31"/>
      <c r="K4" s="37"/>
      <c r="L4" s="22"/>
      <c r="M4" s="37"/>
      <c r="N4" s="22"/>
      <c r="O4" s="37"/>
      <c r="P4" s="22"/>
      <c r="Q4" s="37"/>
      <c r="R4" s="22"/>
      <c r="S4" s="37"/>
      <c r="T4" s="64"/>
    </row>
    <row r="5" spans="1:20" x14ac:dyDescent="0.2">
      <c r="A5" s="24" t="s">
        <v>170</v>
      </c>
      <c r="D5" s="31"/>
      <c r="E5" s="37"/>
      <c r="G5" s="37"/>
      <c r="H5" s="31"/>
      <c r="I5" s="37"/>
      <c r="J5" s="31"/>
      <c r="K5" s="37"/>
      <c r="L5" s="22"/>
      <c r="M5" s="37"/>
      <c r="N5" s="22"/>
      <c r="O5" s="37"/>
      <c r="P5" s="22"/>
      <c r="Q5" s="37"/>
      <c r="R5" s="22"/>
      <c r="S5" s="37"/>
      <c r="T5" s="64"/>
    </row>
    <row r="6" spans="1:20" ht="13.5" thickBot="1" x14ac:dyDescent="0.25">
      <c r="A6" s="94" t="s">
        <v>171</v>
      </c>
      <c r="B6" s="91"/>
      <c r="C6" s="92"/>
      <c r="D6" s="93"/>
      <c r="E6" s="43"/>
      <c r="F6" s="91"/>
      <c r="G6" s="43"/>
      <c r="H6" s="93"/>
      <c r="I6" s="43"/>
      <c r="J6" s="93"/>
      <c r="K6" s="43"/>
      <c r="L6" s="90"/>
      <c r="M6" s="43"/>
      <c r="N6" s="90"/>
      <c r="O6" s="43"/>
      <c r="P6" s="90"/>
      <c r="Q6" s="43"/>
      <c r="R6" s="90"/>
      <c r="S6" s="43"/>
      <c r="T6" s="89"/>
    </row>
    <row r="7" spans="1:20" ht="13.5" thickTop="1" x14ac:dyDescent="0.2">
      <c r="A7" s="87" t="s">
        <v>157</v>
      </c>
      <c r="B7" s="147" t="s">
        <v>147</v>
      </c>
      <c r="C7" s="148"/>
      <c r="D7" s="149" t="s">
        <v>148</v>
      </c>
      <c r="E7" s="149"/>
      <c r="F7" s="147" t="s">
        <v>149</v>
      </c>
      <c r="G7" s="148"/>
      <c r="H7" s="150" t="s">
        <v>150</v>
      </c>
      <c r="I7" s="150"/>
      <c r="J7" s="147" t="s">
        <v>151</v>
      </c>
      <c r="K7" s="148"/>
      <c r="L7" s="151" t="s">
        <v>152</v>
      </c>
      <c r="M7" s="151"/>
      <c r="N7" s="152" t="s">
        <v>153</v>
      </c>
      <c r="O7" s="153"/>
      <c r="P7" s="151" t="s">
        <v>154</v>
      </c>
      <c r="Q7" s="151"/>
      <c r="R7" s="154" t="s">
        <v>155</v>
      </c>
      <c r="S7" s="155"/>
      <c r="T7" s="88" t="s">
        <v>90</v>
      </c>
    </row>
    <row r="8" spans="1:20" ht="13.5" thickBot="1" x14ac:dyDescent="0.25">
      <c r="A8" s="25"/>
      <c r="B8" s="28" t="s">
        <v>145</v>
      </c>
      <c r="C8" s="35" t="s">
        <v>146</v>
      </c>
      <c r="D8" s="32" t="s">
        <v>145</v>
      </c>
      <c r="E8" s="38" t="s">
        <v>146</v>
      </c>
      <c r="F8" s="29" t="s">
        <v>145</v>
      </c>
      <c r="G8" s="40" t="s">
        <v>146</v>
      </c>
      <c r="H8" s="32" t="s">
        <v>145</v>
      </c>
      <c r="I8" s="38" t="s">
        <v>146</v>
      </c>
      <c r="J8" s="29" t="s">
        <v>145</v>
      </c>
      <c r="K8" s="40" t="s">
        <v>146</v>
      </c>
      <c r="L8" s="17" t="s">
        <v>162</v>
      </c>
      <c r="M8" s="41" t="s">
        <v>146</v>
      </c>
      <c r="N8" s="17" t="s">
        <v>162</v>
      </c>
      <c r="O8" s="35" t="s">
        <v>146</v>
      </c>
      <c r="P8" s="17" t="s">
        <v>162</v>
      </c>
      <c r="Q8" s="41" t="s">
        <v>146</v>
      </c>
      <c r="R8" s="17" t="s">
        <v>162</v>
      </c>
      <c r="S8" s="42" t="s">
        <v>146</v>
      </c>
      <c r="T8" s="89"/>
    </row>
    <row r="9" spans="1:20" ht="13.5" thickTop="1" x14ac:dyDescent="0.2">
      <c r="A9" t="str">
        <f>LeafConcentrationsEntry!A9</f>
        <v>Fielda</v>
      </c>
      <c r="B9" s="50">
        <f t="shared" ref="B9:B26" si="0">LN</f>
        <v>2.58</v>
      </c>
      <c r="C9" s="55">
        <f t="shared" ref="C9:C26" si="1">DRISN</f>
        <v>31.659481901228723</v>
      </c>
      <c r="D9" s="48">
        <f t="shared" ref="D9:D26" si="2">LP</f>
        <v>0.217</v>
      </c>
      <c r="E9" s="57">
        <f t="shared" ref="E9:E26" si="3">DRISP</f>
        <v>7.0576331451132877</v>
      </c>
      <c r="F9" s="50">
        <f t="shared" ref="F9:F26" si="4">LK</f>
        <v>1.33</v>
      </c>
      <c r="G9" s="55">
        <f t="shared" ref="G9:G26" si="5">DRISK</f>
        <v>11.266839352208876</v>
      </c>
      <c r="H9" s="48">
        <f t="shared" ref="H9:H26" si="6">LCA</f>
        <v>0.3</v>
      </c>
      <c r="I9" s="57">
        <f t="shared" ref="I9:I26" si="7">DRISCA</f>
        <v>8.3966834689570238</v>
      </c>
      <c r="J9" s="50">
        <f t="shared" ref="J9:J26" si="8">LMG</f>
        <v>0.13</v>
      </c>
      <c r="K9" s="60">
        <f t="shared" ref="K9:K26" si="9">DRISMG</f>
        <v>-18.385834881413132</v>
      </c>
      <c r="L9" s="52">
        <f t="shared" ref="L9:L26" si="10">LFE</f>
        <v>44</v>
      </c>
      <c r="M9" s="58">
        <f t="shared" ref="M9:M26" si="11">DRISFE</f>
        <v>-19.769491785024641</v>
      </c>
      <c r="N9" s="51">
        <f t="shared" ref="N9:N26" si="12">LMN</f>
        <v>6</v>
      </c>
      <c r="O9" s="60">
        <f t="shared" ref="O9:O26" si="13">DRISMN</f>
        <v>-29.479644375319634</v>
      </c>
      <c r="P9" s="62">
        <f t="shared" ref="P9:P26" si="14">LZN</f>
        <v>18</v>
      </c>
      <c r="Q9" s="57">
        <f t="shared" ref="Q9:Q26" si="15">DRISZN</f>
        <v>3.8324623808479816</v>
      </c>
      <c r="R9" s="63">
        <f t="shared" ref="R9:R26" si="16">LCU</f>
        <v>4.5999999999999996</v>
      </c>
      <c r="S9" s="56">
        <f t="shared" ref="S9:S26" si="17">DRISCU</f>
        <v>5.4218707934015136</v>
      </c>
      <c r="T9" s="53">
        <f t="shared" ref="T9:T26" si="18">DRISNBI</f>
        <v>135.26994208351482</v>
      </c>
    </row>
    <row r="10" spans="1:20" x14ac:dyDescent="0.2">
      <c r="A10" t="str">
        <f>LeafConcentrationsEntry!A10</f>
        <v>Fieldb</v>
      </c>
      <c r="B10" s="50">
        <f t="shared" si="0"/>
        <v>2.44</v>
      </c>
      <c r="C10" s="55">
        <f t="shared" si="1"/>
        <v>13.402339829056643</v>
      </c>
      <c r="D10" s="48">
        <f t="shared" si="2"/>
        <v>0.24099999999999999</v>
      </c>
      <c r="E10" s="57">
        <f t="shared" si="3"/>
        <v>1.0665950097890289</v>
      </c>
      <c r="F10" s="50">
        <f t="shared" si="4"/>
        <v>1.54</v>
      </c>
      <c r="G10" s="56">
        <f t="shared" si="5"/>
        <v>8.8753645435990975</v>
      </c>
      <c r="H10" s="48">
        <f t="shared" si="6"/>
        <v>0.42</v>
      </c>
      <c r="I10" s="59">
        <f t="shared" si="7"/>
        <v>13.909632615162394</v>
      </c>
      <c r="J10" s="50">
        <f t="shared" si="8"/>
        <v>0.17</v>
      </c>
      <c r="K10" s="60">
        <f t="shared" si="9"/>
        <v>-11.38112164857837</v>
      </c>
      <c r="L10" s="62">
        <f t="shared" si="10"/>
        <v>57</v>
      </c>
      <c r="M10" s="58">
        <f t="shared" si="11"/>
        <v>-13.141095075187536</v>
      </c>
      <c r="N10" s="51">
        <f t="shared" si="12"/>
        <v>10</v>
      </c>
      <c r="O10" s="60">
        <f t="shared" si="13"/>
        <v>-15.820275899177631</v>
      </c>
      <c r="P10" s="62">
        <f t="shared" si="14"/>
        <v>20</v>
      </c>
      <c r="Q10" s="57">
        <f t="shared" si="15"/>
        <v>-2.1637712496526964</v>
      </c>
      <c r="R10" s="63">
        <f t="shared" si="16"/>
        <v>5.9</v>
      </c>
      <c r="S10" s="56">
        <f t="shared" si="17"/>
        <v>5.2523318749890686</v>
      </c>
      <c r="T10" s="53">
        <f t="shared" si="18"/>
        <v>85.012527745192472</v>
      </c>
    </row>
    <row r="11" spans="1:20" x14ac:dyDescent="0.2">
      <c r="A11" t="str">
        <f>LeafConcentrationsEntry!A11</f>
        <v>Fieldc</v>
      </c>
      <c r="B11" s="47">
        <f t="shared" si="0"/>
        <v>2.76</v>
      </c>
      <c r="C11" s="55">
        <f t="shared" si="1"/>
        <v>11.272654995678343</v>
      </c>
      <c r="D11" s="48">
        <f t="shared" si="2"/>
        <v>0.28899999999999998</v>
      </c>
      <c r="E11" s="57">
        <f t="shared" si="3"/>
        <v>4.0779337315255129</v>
      </c>
      <c r="F11" s="47">
        <f t="shared" si="4"/>
        <v>1.78</v>
      </c>
      <c r="G11" s="56">
        <f t="shared" si="5"/>
        <v>6.1700227332040569</v>
      </c>
      <c r="H11" s="48">
        <f t="shared" si="6"/>
        <v>0.37</v>
      </c>
      <c r="I11" s="57">
        <f t="shared" si="7"/>
        <v>3.6006140013876786</v>
      </c>
      <c r="J11" s="50">
        <f t="shared" si="8"/>
        <v>0.21</v>
      </c>
      <c r="K11" s="56">
        <f t="shared" si="9"/>
        <v>-6.5045333459238854</v>
      </c>
      <c r="L11" s="62">
        <f t="shared" si="10"/>
        <v>60</v>
      </c>
      <c r="M11" s="58">
        <f t="shared" si="11"/>
        <v>-16.916835954373056</v>
      </c>
      <c r="N11" s="63">
        <f t="shared" si="12"/>
        <v>16</v>
      </c>
      <c r="O11" s="56">
        <f t="shared" si="13"/>
        <v>-5.4629487174411615</v>
      </c>
      <c r="P11" s="62">
        <f t="shared" si="14"/>
        <v>21</v>
      </c>
      <c r="Q11" s="57">
        <f t="shared" si="15"/>
        <v>-5.1266749123891984</v>
      </c>
      <c r="R11" s="63">
        <f t="shared" si="16"/>
        <v>7.3</v>
      </c>
      <c r="S11" s="56">
        <f t="shared" si="17"/>
        <v>8.8897674683317085</v>
      </c>
      <c r="T11" s="54">
        <f t="shared" si="18"/>
        <v>68.021985860254603</v>
      </c>
    </row>
    <row r="12" spans="1:20" x14ac:dyDescent="0.2">
      <c r="A12" t="str">
        <f>LeafConcentrationsEntry!A12</f>
        <v>Fieldd</v>
      </c>
      <c r="B12" s="47">
        <f t="shared" si="0"/>
        <v>2.61</v>
      </c>
      <c r="C12" s="55">
        <f t="shared" si="1"/>
        <v>15.026681334436343</v>
      </c>
      <c r="D12" s="48">
        <f t="shared" si="2"/>
        <v>0.224</v>
      </c>
      <c r="E12" s="57">
        <f t="shared" si="3"/>
        <v>-5.8475211911100384</v>
      </c>
      <c r="F12" s="50">
        <f t="shared" si="4"/>
        <v>1.6</v>
      </c>
      <c r="G12" s="56">
        <f t="shared" si="5"/>
        <v>6.9548446762001994</v>
      </c>
      <c r="H12" s="48">
        <f t="shared" si="6"/>
        <v>0.36</v>
      </c>
      <c r="I12" s="57">
        <f t="shared" si="7"/>
        <v>6.1699692154594796</v>
      </c>
      <c r="J12" s="50">
        <f t="shared" si="8"/>
        <v>0.18</v>
      </c>
      <c r="K12" s="56">
        <f t="shared" si="9"/>
        <v>-9.3064466535909354</v>
      </c>
      <c r="L12" s="62">
        <f t="shared" si="10"/>
        <v>64</v>
      </c>
      <c r="M12" s="57">
        <f t="shared" si="11"/>
        <v>-8.7171933341372867</v>
      </c>
      <c r="N12" s="51">
        <f t="shared" si="12"/>
        <v>10</v>
      </c>
      <c r="O12" s="60">
        <f t="shared" si="13"/>
        <v>-15.970807869889807</v>
      </c>
      <c r="P12" s="62">
        <f t="shared" si="14"/>
        <v>21</v>
      </c>
      <c r="Q12" s="57">
        <f t="shared" si="15"/>
        <v>-3.0657732504093684</v>
      </c>
      <c r="R12" s="63">
        <f t="shared" si="16"/>
        <v>7.6</v>
      </c>
      <c r="S12" s="55">
        <f t="shared" si="17"/>
        <v>14.756247073041411</v>
      </c>
      <c r="T12" s="53">
        <f t="shared" si="18"/>
        <v>85.81548459827485</v>
      </c>
    </row>
    <row r="13" spans="1:20" x14ac:dyDescent="0.2">
      <c r="A13" t="str">
        <f>LeafConcentrationsEntry!A13</f>
        <v>Fielde</v>
      </c>
      <c r="B13" s="47">
        <f t="shared" si="0"/>
        <v>2.93</v>
      </c>
      <c r="C13" s="55">
        <f t="shared" si="1"/>
        <v>15.74518281503364</v>
      </c>
      <c r="D13" s="48">
        <f t="shared" si="2"/>
        <v>0.28299999999999997</v>
      </c>
      <c r="E13" s="57">
        <f t="shared" si="3"/>
        <v>4.2206717380824408</v>
      </c>
      <c r="F13" s="47">
        <f t="shared" si="4"/>
        <v>1.7</v>
      </c>
      <c r="G13" s="56">
        <f t="shared" si="5"/>
        <v>6.1052300678965681</v>
      </c>
      <c r="H13" s="48">
        <f t="shared" si="6"/>
        <v>0.44</v>
      </c>
      <c r="I13" s="59">
        <f t="shared" si="7"/>
        <v>10.554583000732297</v>
      </c>
      <c r="J13" s="50">
        <f t="shared" si="8"/>
        <v>0.14000000000000001</v>
      </c>
      <c r="K13" s="60">
        <f t="shared" si="9"/>
        <v>-30.560384220347096</v>
      </c>
      <c r="L13" s="62">
        <f t="shared" si="10"/>
        <v>67</v>
      </c>
      <c r="M13" s="57">
        <f t="shared" si="11"/>
        <v>-8.2695119916012878</v>
      </c>
      <c r="N13" s="63">
        <f t="shared" si="12"/>
        <v>23</v>
      </c>
      <c r="O13" s="56">
        <f t="shared" si="13"/>
        <v>0</v>
      </c>
      <c r="P13" s="62">
        <f t="shared" si="14"/>
        <v>21</v>
      </c>
      <c r="Q13" s="57">
        <f t="shared" si="15"/>
        <v>-2.1679609635841803</v>
      </c>
      <c r="R13" s="63">
        <f t="shared" si="16"/>
        <v>6.2</v>
      </c>
      <c r="S13" s="56">
        <f t="shared" si="17"/>
        <v>4.3721895537876163</v>
      </c>
      <c r="T13" s="53">
        <f t="shared" si="18"/>
        <v>81.995714351065132</v>
      </c>
    </row>
    <row r="14" spans="1:20" x14ac:dyDescent="0.2">
      <c r="A14" t="str">
        <f>LeafConcentrationsEntry!A14</f>
        <v>Fieldf</v>
      </c>
      <c r="B14" s="47">
        <f t="shared" si="0"/>
        <v>2.8</v>
      </c>
      <c r="C14" s="56">
        <f t="shared" si="1"/>
        <v>8.1626315373548124</v>
      </c>
      <c r="D14" s="49">
        <f t="shared" si="2"/>
        <v>0.32500000000000001</v>
      </c>
      <c r="E14" s="57">
        <f t="shared" si="3"/>
        <v>9.3461662707182072</v>
      </c>
      <c r="F14" s="47">
        <f t="shared" si="4"/>
        <v>1.75</v>
      </c>
      <c r="G14" s="56">
        <f t="shared" si="5"/>
        <v>4.3062557811948885</v>
      </c>
      <c r="H14" s="49">
        <f t="shared" si="6"/>
        <v>0.51</v>
      </c>
      <c r="I14" s="59">
        <f t="shared" si="7"/>
        <v>14.262439506102069</v>
      </c>
      <c r="J14" s="50">
        <f t="shared" si="8"/>
        <v>0.17</v>
      </c>
      <c r="K14" s="60">
        <f t="shared" si="9"/>
        <v>-25.320373749088745</v>
      </c>
      <c r="L14" s="62">
        <f t="shared" si="10"/>
        <v>63</v>
      </c>
      <c r="M14" s="58">
        <f t="shared" si="11"/>
        <v>-21.111240467536163</v>
      </c>
      <c r="N14" s="63">
        <f t="shared" si="12"/>
        <v>78</v>
      </c>
      <c r="O14" s="55">
        <f t="shared" si="13"/>
        <v>15.7166764423643</v>
      </c>
      <c r="P14" s="62">
        <f t="shared" si="14"/>
        <v>21</v>
      </c>
      <c r="Q14" s="57">
        <f t="shared" si="15"/>
        <v>-7.7411338711734619</v>
      </c>
      <c r="R14" s="63">
        <f t="shared" si="16"/>
        <v>5.5</v>
      </c>
      <c r="S14" s="56">
        <f t="shared" si="17"/>
        <v>2.378578550064093</v>
      </c>
      <c r="T14" s="53">
        <f t="shared" si="18"/>
        <v>108.34549617559674</v>
      </c>
    </row>
    <row r="15" spans="1:20" x14ac:dyDescent="0.2">
      <c r="A15" t="str">
        <f>LeafConcentrationsEntry!A15</f>
        <v>Fieldg</v>
      </c>
      <c r="B15" s="47">
        <f t="shared" si="0"/>
        <v>2.62</v>
      </c>
      <c r="C15" s="55">
        <f t="shared" si="1"/>
        <v>11.896718229894095</v>
      </c>
      <c r="D15" s="48">
        <f t="shared" si="2"/>
        <v>0.27100000000000002</v>
      </c>
      <c r="E15" s="57">
        <f t="shared" si="3"/>
        <v>1.1249633854354111</v>
      </c>
      <c r="F15" s="50">
        <f t="shared" si="4"/>
        <v>1.55</v>
      </c>
      <c r="G15" s="56">
        <f t="shared" si="5"/>
        <v>1.2114800785996487</v>
      </c>
      <c r="H15" s="49">
        <f t="shared" si="6"/>
        <v>0.46</v>
      </c>
      <c r="I15" s="59">
        <f t="shared" si="7"/>
        <v>15.829168665290915</v>
      </c>
      <c r="J15" s="50">
        <f t="shared" si="8"/>
        <v>0.19</v>
      </c>
      <c r="K15" s="56">
        <f t="shared" si="9"/>
        <v>-6.2581928644482705</v>
      </c>
      <c r="L15" s="62">
        <f t="shared" si="10"/>
        <v>58</v>
      </c>
      <c r="M15" s="58">
        <f t="shared" si="11"/>
        <v>-14.055014832681003</v>
      </c>
      <c r="N15" s="63">
        <f t="shared" si="12"/>
        <v>27</v>
      </c>
      <c r="O15" s="56">
        <f t="shared" si="13"/>
        <v>0</v>
      </c>
      <c r="P15" s="62">
        <f t="shared" si="14"/>
        <v>19</v>
      </c>
      <c r="Q15" s="57">
        <f t="shared" si="15"/>
        <v>-5.8943964363444836</v>
      </c>
      <c r="R15" s="63">
        <f t="shared" si="16"/>
        <v>3.5</v>
      </c>
      <c r="S15" s="56">
        <f t="shared" si="17"/>
        <v>-3.85472622574631</v>
      </c>
      <c r="T15" s="54">
        <f t="shared" si="18"/>
        <v>60.12466071844014</v>
      </c>
    </row>
    <row r="16" spans="1:20" x14ac:dyDescent="0.2">
      <c r="A16" t="str">
        <f>LeafConcentrationsEntry!A16</f>
        <v>Fieldh</v>
      </c>
      <c r="B16" s="50">
        <f t="shared" si="0"/>
        <v>2.4700000000000002</v>
      </c>
      <c r="C16" s="56">
        <f t="shared" si="1"/>
        <v>-0.47539563346115399</v>
      </c>
      <c r="D16" s="48">
        <f t="shared" si="2"/>
        <v>0.22800000000000001</v>
      </c>
      <c r="E16" s="58">
        <f t="shared" si="3"/>
        <v>-12.5335102665373</v>
      </c>
      <c r="F16" s="50">
        <f t="shared" si="4"/>
        <v>1.52</v>
      </c>
      <c r="G16" s="56">
        <f t="shared" si="5"/>
        <v>-1.5552345981288931</v>
      </c>
      <c r="H16" s="49">
        <f t="shared" si="6"/>
        <v>0.56000000000000005</v>
      </c>
      <c r="I16" s="59">
        <f t="shared" si="7"/>
        <v>20.962094077985057</v>
      </c>
      <c r="J16" s="50">
        <f t="shared" si="8"/>
        <v>0.26</v>
      </c>
      <c r="K16" s="56">
        <f t="shared" si="9"/>
        <v>-3.3363513144443595</v>
      </c>
      <c r="L16" s="62">
        <f t="shared" si="10"/>
        <v>91</v>
      </c>
      <c r="M16" s="57">
        <f t="shared" si="11"/>
        <v>0.73164112973780648</v>
      </c>
      <c r="N16" s="51">
        <f t="shared" si="12"/>
        <v>10</v>
      </c>
      <c r="O16" s="60">
        <f t="shared" si="13"/>
        <v>-22.734160946783899</v>
      </c>
      <c r="P16" s="62">
        <f t="shared" si="14"/>
        <v>29</v>
      </c>
      <c r="Q16" s="57">
        <f t="shared" si="15"/>
        <v>1.697627484255118</v>
      </c>
      <c r="R16" s="61">
        <f t="shared" si="16"/>
        <v>9.1999999999999993</v>
      </c>
      <c r="S16" s="55">
        <f t="shared" si="17"/>
        <v>17.243290067377625</v>
      </c>
      <c r="T16" s="53">
        <f t="shared" si="18"/>
        <v>81.269305518711221</v>
      </c>
    </row>
    <row r="17" spans="1:20" x14ac:dyDescent="0.2">
      <c r="A17" t="str">
        <f>LeafConcentrationsEntry!A17</f>
        <v>Fieldi</v>
      </c>
      <c r="B17" s="50">
        <f t="shared" si="0"/>
        <v>2.58</v>
      </c>
      <c r="C17" s="56">
        <f t="shared" si="1"/>
        <v>7.4918142791318418</v>
      </c>
      <c r="D17" s="48">
        <f t="shared" si="2"/>
        <v>0.26100000000000001</v>
      </c>
      <c r="E17" s="57">
        <f t="shared" si="3"/>
        <v>0.73962138171463132</v>
      </c>
      <c r="F17" s="50">
        <f t="shared" si="4"/>
        <v>1.55</v>
      </c>
      <c r="G17" s="56">
        <f t="shared" si="5"/>
        <v>2.2264826672570921</v>
      </c>
      <c r="H17" s="49">
        <f t="shared" si="6"/>
        <v>0.46</v>
      </c>
      <c r="I17" s="59">
        <f t="shared" si="7"/>
        <v>13.901400513467948</v>
      </c>
      <c r="J17" s="50">
        <f t="shared" si="8"/>
        <v>0.22</v>
      </c>
      <c r="K17" s="56">
        <f t="shared" si="9"/>
        <v>-3.244502760208186</v>
      </c>
      <c r="L17" s="62">
        <f t="shared" si="10"/>
        <v>67</v>
      </c>
      <c r="M17" s="57">
        <f t="shared" si="11"/>
        <v>-6.6165014611293422</v>
      </c>
      <c r="N17" s="51">
        <f t="shared" si="12"/>
        <v>11</v>
      </c>
      <c r="O17" s="60">
        <f t="shared" si="13"/>
        <v>-16.349694095365994</v>
      </c>
      <c r="P17" s="62">
        <f t="shared" si="14"/>
        <v>21</v>
      </c>
      <c r="Q17" s="57">
        <f t="shared" si="15"/>
        <v>-4.8986173040455903</v>
      </c>
      <c r="R17" s="63">
        <f t="shared" si="16"/>
        <v>6.8</v>
      </c>
      <c r="S17" s="56">
        <f t="shared" si="17"/>
        <v>6.7499967791776001</v>
      </c>
      <c r="T17" s="54">
        <f t="shared" si="18"/>
        <v>62.218631241498223</v>
      </c>
    </row>
    <row r="18" spans="1:20" x14ac:dyDescent="0.2">
      <c r="A18" t="str">
        <f>LeafConcentrationsEntry!A18</f>
        <v>Fieldj</v>
      </c>
      <c r="B18" s="50">
        <f t="shared" si="0"/>
        <v>2.4700000000000002</v>
      </c>
      <c r="C18" s="56">
        <f t="shared" si="1"/>
        <v>1.1811457240623895</v>
      </c>
      <c r="D18" s="48">
        <f t="shared" si="2"/>
        <v>0.253</v>
      </c>
      <c r="E18" s="57">
        <f t="shared" si="3"/>
        <v>-2.5805301288762492</v>
      </c>
      <c r="F18" s="47">
        <f t="shared" si="4"/>
        <v>1.98</v>
      </c>
      <c r="G18" s="55">
        <f t="shared" si="5"/>
        <v>20.296213578044178</v>
      </c>
      <c r="H18" s="49">
        <f t="shared" si="6"/>
        <v>0.52</v>
      </c>
      <c r="I18" s="59">
        <f t="shared" si="7"/>
        <v>22.362369529213606</v>
      </c>
      <c r="J18" s="50">
        <f t="shared" si="8"/>
        <v>0.17</v>
      </c>
      <c r="K18" s="60">
        <f t="shared" si="9"/>
        <v>-22.059181294488297</v>
      </c>
      <c r="L18" s="62">
        <f t="shared" si="10"/>
        <v>74</v>
      </c>
      <c r="M18" s="57">
        <f t="shared" si="11"/>
        <v>-3.8573390328473489</v>
      </c>
      <c r="N18" s="51">
        <f t="shared" si="12"/>
        <v>8</v>
      </c>
      <c r="O18" s="60">
        <f t="shared" si="13"/>
        <v>-29.525646223828257</v>
      </c>
      <c r="P18" s="62">
        <f t="shared" si="14"/>
        <v>22</v>
      </c>
      <c r="Q18" s="57">
        <f t="shared" si="15"/>
        <v>-3.3185628716171038</v>
      </c>
      <c r="R18" s="61">
        <f t="shared" si="16"/>
        <v>8.6</v>
      </c>
      <c r="S18" s="55">
        <f t="shared" si="17"/>
        <v>17.50153072033709</v>
      </c>
      <c r="T18" s="53">
        <f t="shared" si="18"/>
        <v>122.68251910331452</v>
      </c>
    </row>
    <row r="19" spans="1:20" x14ac:dyDescent="0.2">
      <c r="A19" t="str">
        <f>LeafConcentrationsEntry!A19</f>
        <v>Field1</v>
      </c>
      <c r="B19" s="50">
        <f t="shared" si="0"/>
        <v>2.2799999999999998</v>
      </c>
      <c r="C19" s="56">
        <f t="shared" si="1"/>
        <v>1.7171717171717158</v>
      </c>
      <c r="D19" s="48">
        <f t="shared" si="2"/>
        <v>0.28000000000000003</v>
      </c>
      <c r="E19" s="57">
        <f t="shared" si="3"/>
        <v>1.7757629367536498</v>
      </c>
      <c r="F19" s="50">
        <f t="shared" si="4"/>
        <v>1.56</v>
      </c>
      <c r="G19" s="56">
        <f t="shared" si="5"/>
        <v>1.7854064201598567</v>
      </c>
      <c r="H19" s="48">
        <f t="shared" si="6"/>
        <v>0.28000000000000003</v>
      </c>
      <c r="I19" s="57">
        <f t="shared" si="7"/>
        <v>0</v>
      </c>
      <c r="J19" s="50">
        <f t="shared" si="8"/>
        <v>0.28000000000000003</v>
      </c>
      <c r="K19" s="56">
        <f t="shared" si="9"/>
        <v>1.469346533997782</v>
      </c>
      <c r="L19" s="62">
        <f t="shared" si="10"/>
        <v>74</v>
      </c>
      <c r="M19" s="57">
        <f t="shared" si="11"/>
        <v>0</v>
      </c>
      <c r="N19" s="63">
        <f t="shared" si="12"/>
        <v>17</v>
      </c>
      <c r="O19" s="56">
        <f t="shared" si="13"/>
        <v>-1.7854064201598567</v>
      </c>
      <c r="P19" s="62">
        <f t="shared" si="14"/>
        <v>19</v>
      </c>
      <c r="Q19" s="57">
        <f t="shared" si="15"/>
        <v>-4.9622811879231472</v>
      </c>
      <c r="R19" s="63">
        <f t="shared" si="16"/>
        <v>5</v>
      </c>
      <c r="S19" s="56">
        <f t="shared" si="17"/>
        <v>0</v>
      </c>
      <c r="T19" s="54">
        <f t="shared" si="18"/>
        <v>13.495375216166007</v>
      </c>
    </row>
    <row r="20" spans="1:20" x14ac:dyDescent="0.2">
      <c r="A20" t="str">
        <f>LeafConcentrationsEntry!A20</f>
        <v>Field2</v>
      </c>
      <c r="B20" s="50">
        <f t="shared" si="0"/>
        <v>2.4</v>
      </c>
      <c r="C20" s="55">
        <f t="shared" si="1"/>
        <v>16.411146617652484</v>
      </c>
      <c r="D20" s="48">
        <f t="shared" si="2"/>
        <v>0.23</v>
      </c>
      <c r="E20" s="57">
        <f t="shared" si="3"/>
        <v>4.2958219713768226</v>
      </c>
      <c r="F20" s="50">
        <f t="shared" si="4"/>
        <v>1.51</v>
      </c>
      <c r="G20" s="55">
        <f t="shared" si="5"/>
        <v>10.899846572320307</v>
      </c>
      <c r="H20" s="48">
        <f t="shared" si="6"/>
        <v>0.21</v>
      </c>
      <c r="I20" s="58">
        <f t="shared" si="7"/>
        <v>-15.027674890129855</v>
      </c>
      <c r="J20" s="50">
        <f t="shared" si="8"/>
        <v>0.15</v>
      </c>
      <c r="K20" s="60">
        <f t="shared" si="9"/>
        <v>-15.907644326392216</v>
      </c>
      <c r="L20" s="62">
        <f t="shared" si="10"/>
        <v>81</v>
      </c>
      <c r="M20" s="59">
        <f t="shared" si="11"/>
        <v>11.457019750897096</v>
      </c>
      <c r="N20" s="51">
        <f t="shared" si="12"/>
        <v>11</v>
      </c>
      <c r="O20" s="60">
        <f t="shared" si="13"/>
        <v>-10.252073764811076</v>
      </c>
      <c r="P20" s="62">
        <f t="shared" si="14"/>
        <v>16</v>
      </c>
      <c r="Q20" s="58">
        <f t="shared" si="15"/>
        <v>-11.86058302306663</v>
      </c>
      <c r="R20" s="63">
        <f t="shared" si="16"/>
        <v>6</v>
      </c>
      <c r="S20" s="56">
        <f t="shared" si="17"/>
        <v>9.9841410921530649</v>
      </c>
      <c r="T20" s="53">
        <f t="shared" si="18"/>
        <v>106.09595200879956</v>
      </c>
    </row>
    <row r="21" spans="1:20" x14ac:dyDescent="0.2">
      <c r="A21" t="str">
        <f>LeafConcentrationsEntry!A21</f>
        <v>Field3</v>
      </c>
      <c r="B21" s="50">
        <f t="shared" si="0"/>
        <v>1.84</v>
      </c>
      <c r="C21" s="56">
        <f t="shared" si="1"/>
        <v>-2.7492923664705651</v>
      </c>
      <c r="D21" s="48">
        <f t="shared" si="2"/>
        <v>0.25</v>
      </c>
      <c r="E21" s="57">
        <f t="shared" si="3"/>
        <v>7.0999046057144133</v>
      </c>
      <c r="F21" s="50">
        <f t="shared" si="4"/>
        <v>1.38</v>
      </c>
      <c r="G21" s="56">
        <f t="shared" si="5"/>
        <v>3.5897734549767222</v>
      </c>
      <c r="H21" s="48">
        <f t="shared" si="6"/>
        <v>0.26</v>
      </c>
      <c r="I21" s="57">
        <f t="shared" si="7"/>
        <v>-1.2117175112540466</v>
      </c>
      <c r="J21" s="50">
        <f t="shared" si="8"/>
        <v>0.26</v>
      </c>
      <c r="K21" s="56">
        <f t="shared" si="9"/>
        <v>6.0537547786449322</v>
      </c>
      <c r="L21" s="62">
        <f t="shared" si="10"/>
        <v>74</v>
      </c>
      <c r="M21" s="57">
        <f t="shared" si="11"/>
        <v>5.1538757332544076</v>
      </c>
      <c r="N21" s="63">
        <f t="shared" si="12"/>
        <v>13</v>
      </c>
      <c r="O21" s="56">
        <f t="shared" si="13"/>
        <v>-6.4903303372277383</v>
      </c>
      <c r="P21" s="52">
        <f t="shared" si="14"/>
        <v>13</v>
      </c>
      <c r="Q21" s="58">
        <f t="shared" si="15"/>
        <v>-24.981901701573598</v>
      </c>
      <c r="R21" s="63">
        <f t="shared" si="16"/>
        <v>7</v>
      </c>
      <c r="S21" s="55">
        <f t="shared" si="17"/>
        <v>13.535933343935472</v>
      </c>
      <c r="T21" s="54">
        <f t="shared" si="18"/>
        <v>70.866483833051902</v>
      </c>
    </row>
    <row r="22" spans="1:20" x14ac:dyDescent="0.2">
      <c r="A22" t="str">
        <f>LeafConcentrationsEntry!A22</f>
        <v>Field4</v>
      </c>
      <c r="B22" s="50">
        <f t="shared" si="0"/>
        <v>2.12</v>
      </c>
      <c r="C22" s="56">
        <f t="shared" si="1"/>
        <v>2.6543528258217028</v>
      </c>
      <c r="D22" s="48">
        <f t="shared" si="2"/>
        <v>0.26</v>
      </c>
      <c r="E22" s="57">
        <f t="shared" si="3"/>
        <v>3.9564961863234629</v>
      </c>
      <c r="F22" s="50">
        <f t="shared" si="4"/>
        <v>1.35</v>
      </c>
      <c r="G22" s="56">
        <f t="shared" si="5"/>
        <v>-0.12179362732396548</v>
      </c>
      <c r="H22" s="48">
        <f t="shared" si="6"/>
        <v>0.26</v>
      </c>
      <c r="I22" s="57">
        <f t="shared" si="7"/>
        <v>-2.6364204387670087</v>
      </c>
      <c r="J22" s="50">
        <f t="shared" si="8"/>
        <v>0.3</v>
      </c>
      <c r="K22" s="55">
        <f t="shared" si="9"/>
        <v>10.835507136294964</v>
      </c>
      <c r="L22" s="62">
        <f t="shared" si="10"/>
        <v>74</v>
      </c>
      <c r="M22" s="57">
        <f t="shared" si="11"/>
        <v>3.4860567011083852</v>
      </c>
      <c r="N22" s="63">
        <f t="shared" si="12"/>
        <v>17</v>
      </c>
      <c r="O22" s="56">
        <f t="shared" si="13"/>
        <v>-1.301899619936026</v>
      </c>
      <c r="P22" s="62">
        <f t="shared" si="14"/>
        <v>16</v>
      </c>
      <c r="Q22" s="58">
        <f t="shared" si="15"/>
        <v>-10.261463434666425</v>
      </c>
      <c r="R22" s="63">
        <f t="shared" si="16"/>
        <v>3</v>
      </c>
      <c r="S22" s="56">
        <f t="shared" si="17"/>
        <v>-6.6108357288550916</v>
      </c>
      <c r="T22" s="54">
        <f t="shared" si="18"/>
        <v>41.864825699097032</v>
      </c>
    </row>
    <row r="23" spans="1:20" x14ac:dyDescent="0.2">
      <c r="A23" t="str">
        <f>LeafConcentrationsEntry!A23</f>
        <v>Field5</v>
      </c>
      <c r="B23" s="50">
        <f t="shared" si="0"/>
        <v>2.08</v>
      </c>
      <c r="C23" s="56">
        <f t="shared" si="1"/>
        <v>-1.4414082028990023</v>
      </c>
      <c r="D23" s="48">
        <f t="shared" si="2"/>
        <v>0.25</v>
      </c>
      <c r="E23" s="57">
        <f t="shared" si="3"/>
        <v>2.1993172268907561</v>
      </c>
      <c r="F23" s="47">
        <f t="shared" si="4"/>
        <v>1.65</v>
      </c>
      <c r="G23" s="56">
        <f t="shared" si="5"/>
        <v>6.0903302158447543</v>
      </c>
      <c r="H23" s="48">
        <f t="shared" si="6"/>
        <v>0.27</v>
      </c>
      <c r="I23" s="57">
        <f t="shared" si="7"/>
        <v>-4.7978307149928048</v>
      </c>
      <c r="J23" s="50">
        <f t="shared" si="8"/>
        <v>0.28999999999999998</v>
      </c>
      <c r="K23" s="56">
        <f t="shared" si="9"/>
        <v>4.9437532777632445</v>
      </c>
      <c r="L23" s="62">
        <f t="shared" si="10"/>
        <v>70</v>
      </c>
      <c r="M23" s="57">
        <f t="shared" si="11"/>
        <v>-2.2081035489023595</v>
      </c>
      <c r="N23" s="63">
        <f t="shared" si="12"/>
        <v>44</v>
      </c>
      <c r="O23" s="56">
        <f t="shared" si="13"/>
        <v>0</v>
      </c>
      <c r="P23" s="62">
        <f t="shared" si="14"/>
        <v>16</v>
      </c>
      <c r="Q23" s="58">
        <f t="shared" si="15"/>
        <v>-16.161705693358595</v>
      </c>
      <c r="R23" s="63">
        <f t="shared" si="16"/>
        <v>7</v>
      </c>
      <c r="S23" s="55">
        <f t="shared" si="17"/>
        <v>11.375647439654006</v>
      </c>
      <c r="T23" s="54">
        <f t="shared" si="18"/>
        <v>49.21809632030552</v>
      </c>
    </row>
    <row r="24" spans="1:20" x14ac:dyDescent="0.2">
      <c r="A24" t="str">
        <f>LeafConcentrationsEntry!A24</f>
        <v>Field6</v>
      </c>
      <c r="B24" s="50">
        <f t="shared" si="0"/>
        <v>1.9</v>
      </c>
      <c r="C24" s="56">
        <f t="shared" si="1"/>
        <v>-4.3156625331226515</v>
      </c>
      <c r="D24" s="49">
        <f t="shared" si="2"/>
        <v>0.31</v>
      </c>
      <c r="E24" s="59">
        <f t="shared" si="3"/>
        <v>15.815434619869272</v>
      </c>
      <c r="F24" s="47">
        <f t="shared" si="4"/>
        <v>1.63</v>
      </c>
      <c r="G24" s="55">
        <f t="shared" si="5"/>
        <v>10.537248794133541</v>
      </c>
      <c r="H24" s="48">
        <f t="shared" si="6"/>
        <v>0.22</v>
      </c>
      <c r="I24" s="58">
        <f t="shared" si="7"/>
        <v>-13.087010753402163</v>
      </c>
      <c r="J24" s="50">
        <f t="shared" si="8"/>
        <v>0.18</v>
      </c>
      <c r="K24" s="56">
        <f t="shared" si="9"/>
        <v>-7.4124079474445743</v>
      </c>
      <c r="L24" s="62">
        <f t="shared" si="10"/>
        <v>70</v>
      </c>
      <c r="M24" s="57">
        <f t="shared" si="11"/>
        <v>-2.1375983705097985</v>
      </c>
      <c r="N24" s="63">
        <f t="shared" si="12"/>
        <v>24</v>
      </c>
      <c r="O24" s="56">
        <f t="shared" si="13"/>
        <v>0</v>
      </c>
      <c r="P24" s="62">
        <f t="shared" si="14"/>
        <v>18</v>
      </c>
      <c r="Q24" s="57">
        <f t="shared" si="15"/>
        <v>-7.2875303903910602</v>
      </c>
      <c r="R24" s="63">
        <f t="shared" si="16"/>
        <v>6</v>
      </c>
      <c r="S24" s="56">
        <f t="shared" si="17"/>
        <v>7.8875265808674317</v>
      </c>
      <c r="T24" s="54">
        <f t="shared" si="18"/>
        <v>68.480419989740497</v>
      </c>
    </row>
    <row r="25" spans="1:20" x14ac:dyDescent="0.2">
      <c r="A25" t="str">
        <f>LeafConcentrationsEntry!A25</f>
        <v>Field7</v>
      </c>
      <c r="B25" s="50">
        <f t="shared" si="0"/>
        <v>1.9</v>
      </c>
      <c r="C25" s="56">
        <f t="shared" si="1"/>
        <v>-4.322673613080255</v>
      </c>
      <c r="D25" s="48">
        <f t="shared" si="2"/>
        <v>0.22</v>
      </c>
      <c r="E25" s="57">
        <f t="shared" si="3"/>
        <v>-3.9504967600529275</v>
      </c>
      <c r="F25" s="50">
        <f t="shared" si="4"/>
        <v>1.2</v>
      </c>
      <c r="G25" s="56">
        <f t="shared" si="5"/>
        <v>-4.2634459978268389</v>
      </c>
      <c r="H25" s="48">
        <f t="shared" si="6"/>
        <v>0.24</v>
      </c>
      <c r="I25" s="57">
        <f t="shared" si="7"/>
        <v>-6.0618501874054704</v>
      </c>
      <c r="J25" s="50">
        <f t="shared" si="8"/>
        <v>0.28000000000000003</v>
      </c>
      <c r="K25" s="56">
        <f t="shared" si="9"/>
        <v>9.3598388852554866</v>
      </c>
      <c r="L25" s="62">
        <f t="shared" si="10"/>
        <v>67</v>
      </c>
      <c r="M25" s="57">
        <f t="shared" si="11"/>
        <v>-2.5331156716417911</v>
      </c>
      <c r="N25" s="63">
        <f t="shared" si="12"/>
        <v>46</v>
      </c>
      <c r="O25" s="56">
        <f t="shared" si="13"/>
        <v>0</v>
      </c>
      <c r="P25" s="62">
        <f t="shared" si="14"/>
        <v>17</v>
      </c>
      <c r="Q25" s="57">
        <f t="shared" si="15"/>
        <v>-5.8829212716857739</v>
      </c>
      <c r="R25" s="63">
        <f t="shared" si="16"/>
        <v>7</v>
      </c>
      <c r="S25" s="55">
        <f t="shared" si="17"/>
        <v>17.654664616437572</v>
      </c>
      <c r="T25" s="54">
        <f t="shared" si="18"/>
        <v>54.029007003386113</v>
      </c>
    </row>
    <row r="26" spans="1:20" x14ac:dyDescent="0.2">
      <c r="A26" t="str">
        <f>LeafConcentrationsEntry!A26</f>
        <v>Field8</v>
      </c>
      <c r="B26" s="50">
        <f t="shared" si="0"/>
        <v>1.82</v>
      </c>
      <c r="C26" s="56">
        <f t="shared" si="1"/>
        <v>-2.8278607068629018</v>
      </c>
      <c r="D26" s="48">
        <f t="shared" si="2"/>
        <v>0.3</v>
      </c>
      <c r="E26" s="59">
        <f t="shared" si="3"/>
        <v>18.213090508162427</v>
      </c>
      <c r="F26" s="50">
        <f t="shared" si="4"/>
        <v>1.19</v>
      </c>
      <c r="G26" s="56">
        <f t="shared" si="5"/>
        <v>-5.9567881739144779</v>
      </c>
      <c r="H26" s="48">
        <f t="shared" si="6"/>
        <v>0.2</v>
      </c>
      <c r="I26" s="58">
        <f t="shared" si="7"/>
        <v>-15.873974028769894</v>
      </c>
      <c r="J26" s="50">
        <f t="shared" si="8"/>
        <v>0.26</v>
      </c>
      <c r="K26" s="56">
        <f t="shared" si="9"/>
        <v>9.1847694033991498</v>
      </c>
      <c r="L26" s="62">
        <f t="shared" si="10"/>
        <v>69</v>
      </c>
      <c r="M26" s="57">
        <f t="shared" si="11"/>
        <v>2.7767201979264202</v>
      </c>
      <c r="N26" s="63">
        <f t="shared" si="12"/>
        <v>25</v>
      </c>
      <c r="O26" s="56">
        <f t="shared" si="13"/>
        <v>0</v>
      </c>
      <c r="P26" s="52">
        <f t="shared" si="14"/>
        <v>14</v>
      </c>
      <c r="Q26" s="58">
        <f t="shared" si="15"/>
        <v>-16.972732734470792</v>
      </c>
      <c r="R26" s="63">
        <f t="shared" si="16"/>
        <v>6</v>
      </c>
      <c r="S26" s="55">
        <f t="shared" si="17"/>
        <v>11.45677553453007</v>
      </c>
      <c r="T26" s="53">
        <f t="shared" si="18"/>
        <v>83.26271128803613</v>
      </c>
    </row>
  </sheetData>
  <mergeCells count="10">
    <mergeCell ref="A2:T2"/>
    <mergeCell ref="J7:K7"/>
    <mergeCell ref="B7:C7"/>
    <mergeCell ref="D7:E7"/>
    <mergeCell ref="F7:G7"/>
    <mergeCell ref="H7:I7"/>
    <mergeCell ref="L7:M7"/>
    <mergeCell ref="N7:O7"/>
    <mergeCell ref="P7:Q7"/>
    <mergeCell ref="R7:S7"/>
  </mergeCells>
  <phoneticPr fontId="2" type="noConversion"/>
  <pageMargins left="0.75" right="0.75" top="1" bottom="1" header="0.5" footer="0.5"/>
  <pageSetup scale="8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24"/>
  <sheetViews>
    <sheetView workbookViewId="0">
      <selection activeCell="E16" sqref="E16"/>
    </sheetView>
  </sheetViews>
  <sheetFormatPr defaultRowHeight="12.75" x14ac:dyDescent="0.2"/>
  <cols>
    <col min="1" max="1" width="16.140625" customWidth="1"/>
    <col min="2" max="2" width="2.7109375" customWidth="1"/>
    <col min="3" max="3" width="16.28515625" customWidth="1"/>
    <col min="4" max="4" width="3.42578125" customWidth="1"/>
    <col min="5" max="5" width="19.140625" customWidth="1"/>
  </cols>
  <sheetData>
    <row r="1" spans="1:7" x14ac:dyDescent="0.2">
      <c r="A1" s="157" t="s">
        <v>100</v>
      </c>
      <c r="B1" s="156"/>
      <c r="C1" s="156"/>
      <c r="D1" s="156"/>
      <c r="E1" s="156"/>
      <c r="F1" s="156"/>
      <c r="G1" s="156"/>
    </row>
    <row r="2" spans="1:7" x14ac:dyDescent="0.2">
      <c r="A2" s="1"/>
      <c r="B2" s="1"/>
      <c r="C2" s="1"/>
      <c r="D2" s="1"/>
      <c r="E2" s="1"/>
      <c r="F2" s="1"/>
      <c r="G2" s="1"/>
    </row>
    <row r="3" spans="1:7" x14ac:dyDescent="0.2">
      <c r="A3" s="11" t="s">
        <v>101</v>
      </c>
      <c r="B3" s="1"/>
      <c r="C3" s="12" t="s">
        <v>102</v>
      </c>
      <c r="D3" s="1"/>
      <c r="E3" s="12" t="s">
        <v>103</v>
      </c>
      <c r="F3" s="1"/>
      <c r="G3" s="1"/>
    </row>
    <row r="4" spans="1:7" x14ac:dyDescent="0.2">
      <c r="A4" s="10"/>
      <c r="B4" s="1"/>
      <c r="C4" s="158" t="s">
        <v>104</v>
      </c>
      <c r="D4" s="158"/>
      <c r="E4" s="158"/>
      <c r="F4" s="1"/>
      <c r="G4" s="1"/>
    </row>
    <row r="5" spans="1:7" x14ac:dyDescent="0.2">
      <c r="A5" s="10" t="s">
        <v>105</v>
      </c>
      <c r="B5" s="1"/>
      <c r="C5" s="2">
        <v>1.8</v>
      </c>
      <c r="D5" s="1"/>
      <c r="E5" s="4" t="s">
        <v>106</v>
      </c>
      <c r="F5" s="1"/>
      <c r="G5" s="1"/>
    </row>
    <row r="6" spans="1:7" x14ac:dyDescent="0.2">
      <c r="A6" s="10" t="s">
        <v>107</v>
      </c>
      <c r="B6" s="1"/>
      <c r="C6" s="2">
        <v>0.19</v>
      </c>
      <c r="D6" s="1"/>
      <c r="E6" s="4" t="s">
        <v>108</v>
      </c>
      <c r="F6" s="1"/>
      <c r="G6" s="1"/>
    </row>
    <row r="7" spans="1:7" x14ac:dyDescent="0.2">
      <c r="A7" s="10" t="s">
        <v>109</v>
      </c>
      <c r="B7" s="1"/>
      <c r="C7" s="2">
        <v>0.9</v>
      </c>
      <c r="D7" s="1"/>
      <c r="E7" s="4" t="s">
        <v>110</v>
      </c>
      <c r="F7" s="1"/>
      <c r="G7" s="1"/>
    </row>
    <row r="8" spans="1:7" x14ac:dyDescent="0.2">
      <c r="A8" s="10" t="s">
        <v>111</v>
      </c>
      <c r="B8" s="1"/>
      <c r="C8" s="2">
        <v>0.2</v>
      </c>
      <c r="D8" s="1"/>
      <c r="E8" s="4" t="s">
        <v>112</v>
      </c>
      <c r="F8" s="1"/>
      <c r="G8" s="1"/>
    </row>
    <row r="9" spans="1:7" x14ac:dyDescent="0.2">
      <c r="A9" s="10" t="s">
        <v>113</v>
      </c>
      <c r="B9" s="1"/>
      <c r="C9" s="2">
        <v>0.12</v>
      </c>
      <c r="D9" s="1"/>
      <c r="E9" s="4" t="s">
        <v>114</v>
      </c>
      <c r="F9" s="1"/>
      <c r="G9" s="1"/>
    </row>
    <row r="10" spans="1:7" x14ac:dyDescent="0.2">
      <c r="A10" s="10" t="s">
        <v>115</v>
      </c>
      <c r="B10" s="1"/>
      <c r="C10" s="2">
        <v>0.13</v>
      </c>
      <c r="D10" s="1"/>
      <c r="E10" s="4" t="s">
        <v>116</v>
      </c>
      <c r="F10" s="1"/>
      <c r="G10" s="1"/>
    </row>
    <row r="11" spans="1:7" x14ac:dyDescent="0.2">
      <c r="A11" s="10" t="s">
        <v>117</v>
      </c>
      <c r="B11" s="1"/>
      <c r="C11" s="2">
        <v>0.5</v>
      </c>
      <c r="D11" s="1"/>
      <c r="E11" s="4" t="s">
        <v>118</v>
      </c>
      <c r="F11" s="1"/>
      <c r="G11" s="1"/>
    </row>
    <row r="12" spans="1:7" x14ac:dyDescent="0.2">
      <c r="A12" s="10"/>
      <c r="B12" s="1"/>
      <c r="C12" s="1"/>
      <c r="D12" s="1"/>
      <c r="E12" s="1"/>
      <c r="F12" s="1"/>
      <c r="G12" s="1"/>
    </row>
    <row r="13" spans="1:7" x14ac:dyDescent="0.2">
      <c r="A13" s="10"/>
      <c r="B13" s="1"/>
      <c r="C13" s="158" t="s">
        <v>119</v>
      </c>
      <c r="D13" s="158"/>
      <c r="E13" s="158"/>
      <c r="F13" s="1"/>
      <c r="G13" s="1"/>
    </row>
    <row r="14" spans="1:7" x14ac:dyDescent="0.2">
      <c r="A14" s="10" t="s">
        <v>120</v>
      </c>
      <c r="B14" s="1"/>
      <c r="C14" s="4" t="s">
        <v>121</v>
      </c>
      <c r="D14" s="1"/>
      <c r="E14" s="4" t="s">
        <v>122</v>
      </c>
      <c r="F14" s="1"/>
      <c r="G14" s="1"/>
    </row>
    <row r="15" spans="1:7" x14ac:dyDescent="0.2">
      <c r="A15" s="10" t="s">
        <v>123</v>
      </c>
      <c r="B15" s="1"/>
      <c r="C15" s="4" t="s">
        <v>121</v>
      </c>
      <c r="D15" s="1"/>
      <c r="E15" s="4" t="s">
        <v>124</v>
      </c>
      <c r="F15" s="1"/>
      <c r="G15" s="1"/>
    </row>
    <row r="16" spans="1:7" x14ac:dyDescent="0.2">
      <c r="A16" s="10" t="s">
        <v>125</v>
      </c>
      <c r="B16" s="1"/>
      <c r="C16" s="1">
        <v>15</v>
      </c>
      <c r="D16" s="1"/>
      <c r="E16" s="4" t="s">
        <v>126</v>
      </c>
      <c r="F16" s="1"/>
      <c r="G16" s="1"/>
    </row>
    <row r="17" spans="1:7" x14ac:dyDescent="0.2">
      <c r="A17" s="10" t="s">
        <v>127</v>
      </c>
      <c r="B17" s="1"/>
      <c r="C17" s="1">
        <v>3</v>
      </c>
      <c r="D17" s="1"/>
      <c r="E17" s="4" t="s">
        <v>128</v>
      </c>
      <c r="F17" s="1"/>
      <c r="G17" s="1"/>
    </row>
    <row r="18" spans="1:7" x14ac:dyDescent="0.2">
      <c r="A18" s="10" t="s">
        <v>129</v>
      </c>
      <c r="B18" s="1"/>
      <c r="C18" s="1">
        <v>4</v>
      </c>
      <c r="D18" s="1"/>
      <c r="E18" s="4" t="s">
        <v>130</v>
      </c>
      <c r="F18" s="1"/>
      <c r="G18" s="1"/>
    </row>
    <row r="19" spans="1:7" x14ac:dyDescent="0.2">
      <c r="A19" s="13" t="s">
        <v>131</v>
      </c>
      <c r="B19" s="5"/>
      <c r="C19" s="5">
        <v>0.05</v>
      </c>
      <c r="D19" s="5"/>
      <c r="E19" s="14" t="s">
        <v>121</v>
      </c>
      <c r="F19" s="1"/>
      <c r="G19" s="1"/>
    </row>
    <row r="20" spans="1:7" x14ac:dyDescent="0.2">
      <c r="A20" s="1"/>
      <c r="B20" s="1"/>
      <c r="C20" s="1"/>
      <c r="D20" s="1"/>
      <c r="E20" s="1"/>
      <c r="F20" s="1"/>
      <c r="G20" s="1"/>
    </row>
    <row r="21" spans="1:7" x14ac:dyDescent="0.2">
      <c r="A21" s="156" t="s">
        <v>132</v>
      </c>
      <c r="B21" s="156"/>
      <c r="C21" s="156"/>
      <c r="D21" s="156"/>
      <c r="E21" s="156"/>
      <c r="F21" s="159"/>
      <c r="G21" s="1"/>
    </row>
    <row r="22" spans="1:7" x14ac:dyDescent="0.2">
      <c r="A22" s="156" t="s">
        <v>133</v>
      </c>
      <c r="B22" s="156"/>
      <c r="C22" s="156"/>
      <c r="D22" s="156"/>
      <c r="E22" s="156"/>
      <c r="F22" s="156"/>
      <c r="G22" s="1"/>
    </row>
    <row r="23" spans="1:7" x14ac:dyDescent="0.2">
      <c r="A23" s="156" t="s">
        <v>134</v>
      </c>
      <c r="B23" s="156"/>
      <c r="C23" s="156"/>
      <c r="D23" s="156"/>
      <c r="E23" s="156"/>
      <c r="F23" s="156"/>
      <c r="G23" s="1"/>
    </row>
    <row r="24" spans="1:7" x14ac:dyDescent="0.2">
      <c r="A24" s="1"/>
      <c r="B24" s="1"/>
      <c r="C24" s="1"/>
      <c r="D24" s="1"/>
      <c r="E24" s="1"/>
      <c r="F24" s="1"/>
      <c r="G24" s="1"/>
    </row>
  </sheetData>
  <sheetProtection sheet="1" objects="1" scenarios="1"/>
  <mergeCells count="6">
    <mergeCell ref="A22:F22"/>
    <mergeCell ref="A23:F23"/>
    <mergeCell ref="A1:G1"/>
    <mergeCell ref="C4:E4"/>
    <mergeCell ref="C13:E13"/>
    <mergeCell ref="A21:F21"/>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19</vt:i4>
      </vt:variant>
    </vt:vector>
  </HeadingPairs>
  <TitlesOfParts>
    <vt:vector size="25" baseType="lpstr">
      <vt:lpstr>USER NOTES</vt:lpstr>
      <vt:lpstr>LeafConcentrationsEntry</vt:lpstr>
      <vt:lpstr>DRISCalculations</vt:lpstr>
      <vt:lpstr>DRISIndices</vt:lpstr>
      <vt:lpstr>ConcentrationsPlusDRIS</vt:lpstr>
      <vt:lpstr>CriticalValues</vt:lpstr>
      <vt:lpstr>DRISCA</vt:lpstr>
      <vt:lpstr>DRISCU</vt:lpstr>
      <vt:lpstr>DRISFE</vt:lpstr>
      <vt:lpstr>DRISK</vt:lpstr>
      <vt:lpstr>DRISMG</vt:lpstr>
      <vt:lpstr>DRISMN</vt:lpstr>
      <vt:lpstr>DRISN</vt:lpstr>
      <vt:lpstr>DRISNBI</vt:lpstr>
      <vt:lpstr>DRISP</vt:lpstr>
      <vt:lpstr>DRISZN</vt:lpstr>
      <vt:lpstr>LCA</vt:lpstr>
      <vt:lpstr>LCU</vt:lpstr>
      <vt:lpstr>LFE</vt:lpstr>
      <vt:lpstr>LK</vt:lpstr>
      <vt:lpstr>LMG</vt:lpstr>
      <vt:lpstr>LMN</vt:lpstr>
      <vt:lpstr>LN</vt:lpstr>
      <vt:lpstr>LP</vt:lpstr>
      <vt:lpstr>LZN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jmmccray</dc:creator>
  <cp:lastModifiedBy>McCray,J. Mabry</cp:lastModifiedBy>
  <cp:lastPrinted>2005-10-14T19:07:58Z</cp:lastPrinted>
  <dcterms:created xsi:type="dcterms:W3CDTF">2005-10-07T12:52:40Z</dcterms:created>
  <dcterms:modified xsi:type="dcterms:W3CDTF">2019-10-02T14:28:46Z</dcterms:modified>
</cp:coreProperties>
</file>